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PDT\1_ACCOMPAGNEMENT_DEVELOPPEMENT\OUTILS\EAJE\OUTILS EAJE\OUTILS_REFORME_PSU_2025_\"/>
    </mc:Choice>
  </mc:AlternateContent>
  <xr:revisionPtr revIDLastSave="0" documentId="13_ncr:1_{9F0DD57F-E7C3-4508-9FB0-ECA9FFBB2AFD}" xr6:coauthVersionLast="47" xr6:coauthVersionMax="47" xr10:uidLastSave="{00000000-0000-0000-0000-000000000000}"/>
  <workbookProtection workbookAlgorithmName="SHA-512" workbookHashValue="asT9uXYgejolVmkq3GwokYeGYWd0gM/FHwf3/PXBb2brqLt7ku/xh57TlyxshglcwhtLCmKdYvMD8roMjOSqPQ==" workbookSaltValue="bIrdxe3zsfcwXLQYBp6Ryw==" workbookSpinCount="100000" lockStructure="1"/>
  <bookViews>
    <workbookView xWindow="330" yWindow="-120" windowWidth="24990" windowHeight="15270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5" i="5"/>
  <c r="N14" i="5"/>
  <c r="N6" i="5"/>
  <c r="I5" i="5"/>
  <c r="S7" i="5" s="1"/>
  <c r="F9" i="4" s="1"/>
  <c r="I4" i="5"/>
  <c r="B16" i="5"/>
  <c r="D13" i="5"/>
  <c r="D12" i="5"/>
  <c r="B13" i="5"/>
  <c r="B12" i="5"/>
  <c r="N17" i="5" l="1"/>
  <c r="B18" i="5"/>
  <c r="I15" i="5"/>
  <c r="I17" i="5" s="1" a="1"/>
  <c r="I17" i="5" s="1"/>
  <c r="N15" i="5"/>
  <c r="N18" i="5" s="1" a="1"/>
  <c r="N18" i="5" s="1"/>
  <c r="B14" i="5"/>
  <c r="C8" i="5"/>
  <c r="C10" i="5"/>
  <c r="B6" i="5"/>
  <c r="B9" i="5" l="1"/>
  <c r="C9" i="5" s="1"/>
  <c r="I18" i="5"/>
  <c r="F7" i="4" s="1"/>
  <c r="N19" i="5"/>
  <c r="N16" i="5" a="1"/>
  <c r="N16" i="5" s="1"/>
  <c r="D8" i="5" a="1"/>
  <c r="D8" i="5" s="1"/>
  <c r="B19" i="5" s="1"/>
  <c r="B20" i="5" s="1"/>
  <c r="I6" i="5" s="1"/>
  <c r="I7" i="5" l="1"/>
  <c r="F5" i="4" s="1"/>
  <c r="N20" i="5"/>
  <c r="N22" i="5" s="1"/>
  <c r="N24" i="5" s="1"/>
  <c r="F8" i="4" s="1"/>
  <c r="B21" i="5"/>
  <c r="B22" i="5" s="1"/>
  <c r="F4" i="4" s="1"/>
  <c r="N5" i="5"/>
  <c r="N7" i="5" l="1"/>
  <c r="F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<sst xmlns="http://schemas.openxmlformats.org/spreadsheetml/2006/main" count="86" uniqueCount="76">
  <si>
    <t>DONNEES A COMPLETER</t>
  </si>
  <si>
    <t>LES DROITS CAF 2025</t>
  </si>
  <si>
    <t xml:space="preserve"> Activité</t>
  </si>
  <si>
    <t>Fourniture de couches et repas</t>
  </si>
  <si>
    <t>OUI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</si>
  <si>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</si>
  <si>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</si>
  <si>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</si>
  <si>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</si>
  <si>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</si>
  <si>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</si>
  <si>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</si>
  <si>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</si>
  <si>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</si>
  <si>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ok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</si>
  <si>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</si>
  <si>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</si>
  <si>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</si>
  <si>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</si>
  <si>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</si>
  <si>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</si>
  <si>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</si>
  <si>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</si>
  <si>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>Privé</t>
  </si>
  <si>
    <t xml:space="preserve">Droit au bonus attractivité </t>
  </si>
  <si>
    <t>NON</t>
  </si>
  <si>
    <t xml:space="preserve">Public </t>
  </si>
  <si>
    <t xml:space="preserve">CALCUL DE LA PSU </t>
  </si>
  <si>
    <t>HEURES DE PREPARATION A L'ACCUEIL</t>
  </si>
  <si>
    <t xml:space="preserve">CF circulaire C 2024-160 du 18/07/24 - Barème national 2025 - Décision CA Cnaf 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</si>
  <si>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</si>
  <si>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</si>
  <si>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</si>
  <si>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</si>
  <si>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</si>
  <si>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</si>
  <si>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</si>
  <si>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</si>
  <si>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</si>
  <si>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</si>
  <si>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</si>
  <si>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</si>
  <si>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</si>
  <si>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</si>
  <si>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</si>
  <si>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</si>
  <si>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</si>
  <si>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</si>
  <si>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</si>
  <si>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</si>
  <si>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</si>
  <si>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</si>
  <si>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</si>
  <si>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</si>
  <si>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</si>
  <si>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</si>
  <si>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</si>
  <si>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</si>
  <si>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</si>
  <si>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</si>
  <si>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</si>
  <si>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</si>
  <si>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</si>
  <si>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</si>
  <si>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</si>
  <si>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</si>
  <si>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</si>
  <si>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</si>
  <si>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</si>
  <si>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</si>
  <si>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>Montant du bonus par place plafond</t>
  </si>
  <si>
    <t xml:space="preserve">PSU  payée par la CAF </t>
  </si>
  <si>
    <t xml:space="preserve">Droits 2025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</si>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</sst>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3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7" fillId="2" borderId="7" xfId="2" applyFont="1" applyFill="1" applyBorder="1" applyProtection="1">
      <protection hidden="1"/>
    </xf>
    <xf numFmtId="44" fontId="7" fillId="2" borderId="23" xfId="2" applyFont="1" applyFill="1" applyBorder="1" applyAlignment="1" applyProtection="1">
      <alignment vertical="center"/>
      <protection hidden="1"/>
    </xf>
    <xf numFmtId="44" fontId="7" fillId="2" borderId="23" xfId="2" applyFont="1" applyFill="1" applyBorder="1" applyAlignment="1" applyProtection="1">
      <alignment horizontal="center" vertical="center"/>
      <protection hidden="1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43" fontId="7" fillId="2" borderId="24" xfId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4" fontId="7" fillId="2" borderId="4" xfId="2" applyFont="1" applyFill="1" applyBorder="1" applyAlignment="1" applyProtection="1">
      <alignment vertical="center"/>
      <protection hidden="1"/>
    </xf>
    <xf numFmtId="44" fontId="7" fillId="2" borderId="7" xfId="0" applyNumberFormat="1" applyFont="1" applyFill="1" applyBorder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3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3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3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3" borderId="0" xfId="0" applyFont="1" applyFill="1" applyAlignment="1" applyProtection="1">
      <alignment horizontal="center" wrapText="1"/>
      <protection hidden="1"/>
    </xf>
    <xf numFmtId="0" fontId="7" fillId="2" borderId="18" xfId="0" applyFont="1" applyFill="1" applyBorder="1" applyAlignment="1" applyProtection="1">
      <alignment horizontal="center" vertical="center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44" fontId="7" fillId="2" borderId="40" xfId="2" applyFont="1" applyFill="1" applyBorder="1" applyAlignment="1" applyProtection="1">
      <alignment vertic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3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3" borderId="0" xfId="2" applyFont="1" applyFill="1" applyBorder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3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3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3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3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7" fillId="2" borderId="13" xfId="0" applyFont="1" applyFill="1" applyBorder="1" applyAlignment="1" applyProtection="1">
      <alignment horizontal="center" vertical="center" wrapText="1"/>
      <protection hidden="1"/>
    </xf>
    <xf numFmtId="44" fontId="7" fillId="2" borderId="14" xfId="2" applyFont="1" applyFill="1" applyBorder="1" applyAlignment="1" applyProtection="1">
      <alignment vertical="center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43" fontId="7" fillId="2" borderId="1" xfId="1" applyFont="1" applyFill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7" fillId="2" borderId="21" xfId="0" applyFont="1" applyFill="1" applyBorder="1" applyAlignment="1" applyProtection="1">
      <alignment horizontal="center" wrapText="1"/>
      <protection hidden="1"/>
    </xf>
    <xf numFmtId="44" fontId="7" fillId="2" borderId="27" xfId="0" applyNumberFormat="1" applyFont="1" applyFill="1" applyBorder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7" fillId="2" borderId="1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2" borderId="24" xfId="0" applyFont="1" applyFill="1" applyBorder="1" applyAlignment="1" applyProtection="1">
      <alignment horizontal="center" vertical="center"/>
      <protection hidden="1"/>
    </xf>
    <xf numFmtId="0" fontId="7" fillId="2" borderId="6" xfId="0" applyFont="1" applyFill="1" applyBorder="1" applyAlignment="1" applyProtection="1">
      <alignment horizontal="center" vertical="center"/>
      <protection hidden="1"/>
    </xf>
    <xf numFmtId="0" fontId="7" fillId="2" borderId="36" xfId="0" applyFont="1" applyFill="1" applyBorder="1" applyAlignment="1" applyProtection="1">
      <alignment horizontal="center" vertical="center"/>
      <protection hidden="1"/>
    </xf>
    <xf numFmtId="0" fontId="7" fillId="2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2" borderId="21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21" xfId="0" applyFont="1" applyFill="1" applyBorder="1" applyAlignment="1" applyProtection="1">
      <alignment horizontal="center" vertical="center" wrapText="1"/>
      <protection hidden="1"/>
    </xf>
    <xf numFmtId="0" fontId="7" fillId="2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5</xdr:col>
      <xdr:colOff>1190262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H24"/>
  <sheetViews>
    <sheetView tabSelected="1" zoomScale="90" zoomScaleNormal="90" workbookViewId="0">
      <selection activeCell="E14" sqref="E14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6" customWidth="1"/>
    <col min="3" max="3" width="11.28515625" style="18" bestFit="1" customWidth="1"/>
    <col min="4" max="4" width="5.42578125" style="17" customWidth="1"/>
    <col min="5" max="5" width="39" style="27" customWidth="1"/>
    <col min="6" max="6" width="17.85546875" style="27" bestFit="1" customWidth="1"/>
    <col min="7" max="16384" width="11.42578125" style="17"/>
  </cols>
  <sheetData>
    <row r="1" spans="1:8" ht="228.75" customHeight="1" x14ac:dyDescent="0.3"/>
    <row r="2" spans="1:8" ht="19.5" thickBot="1" x14ac:dyDescent="0.35"/>
    <row r="3" spans="1:8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8" ht="38.25" thickBot="1" x14ac:dyDescent="0.35">
      <c r="A4" s="145" t="s">
        <v>2</v>
      </c>
      <c r="B4" s="25" t="s">
        <v>3</v>
      </c>
      <c r="C4" s="32"/>
      <c r="E4" s="28" t="s">
        <v>5</v>
      </c>
      <c r="F4" s="30" t="e">
        <f>'Simulateur calcul'!B22</f>
        <v>#DIV/0!</v>
      </c>
    </row>
    <row r="5" spans="1:8" ht="16.5" customHeight="1" thickBot="1" x14ac:dyDescent="0.35">
      <c r="A5" s="145"/>
      <c r="B5" s="25" t="s">
        <v>6</v>
      </c>
      <c r="C5" s="32"/>
      <c r="E5" s="29" t="s">
        <v>7</v>
      </c>
      <c r="F5" s="31" t="e">
        <f>'Simulateur calcul'!I7</f>
        <v>#DIV/0!</v>
      </c>
    </row>
    <row r="6" spans="1:8" ht="38.25" thickBot="1" x14ac:dyDescent="0.35">
      <c r="A6" s="145"/>
      <c r="B6" s="25" t="s">
        <v>8</v>
      </c>
      <c r="C6" s="33"/>
      <c r="E6" s="29" t="s">
        <v>9</v>
      </c>
      <c r="F6" s="31" t="e">
        <f>'Simulateur calcul'!N7</f>
        <v>#DIV/0!</v>
      </c>
    </row>
    <row r="7" spans="1:8" ht="38.25" thickBot="1" x14ac:dyDescent="0.35">
      <c r="A7" s="145"/>
      <c r="B7" s="25" t="s">
        <v>10</v>
      </c>
      <c r="C7" s="32"/>
      <c r="E7" s="29" t="s">
        <v>11</v>
      </c>
      <c r="F7" s="31" t="e">
        <f>'Simulateur calcul'!I18</f>
        <v>#DIV/0!</v>
      </c>
    </row>
    <row r="8" spans="1:8" ht="38.25" thickBot="1" x14ac:dyDescent="0.35">
      <c r="A8" s="145"/>
      <c r="B8" s="25" t="s">
        <v>12</v>
      </c>
      <c r="C8" s="32"/>
      <c r="E8" s="29" t="s">
        <v>13</v>
      </c>
      <c r="F8" s="31" t="e">
        <f>'Simulateur calcul'!N24</f>
        <v>#DIV/0!</v>
      </c>
      <c r="H8" s="17" t="s">
        <v>14</v>
      </c>
    </row>
    <row r="9" spans="1:8" ht="38.25" thickBot="1" x14ac:dyDescent="0.35">
      <c r="A9" s="145"/>
      <c r="B9" s="25" t="s">
        <v>15</v>
      </c>
      <c r="C9" s="32"/>
      <c r="E9" s="29" t="s">
        <v>16</v>
      </c>
      <c r="F9" s="31">
        <f>'Simulateur calcul'!S7</f>
        <v>0</v>
      </c>
      <c r="H9" s="17" t="s">
        <v>14</v>
      </c>
    </row>
    <row r="10" spans="1:8" ht="37.5" x14ac:dyDescent="0.3">
      <c r="A10" s="145"/>
      <c r="B10" s="25" t="s">
        <v>17</v>
      </c>
      <c r="C10" s="32"/>
    </row>
    <row r="11" spans="1:8" ht="37.5" x14ac:dyDescent="0.3">
      <c r="A11" s="145"/>
      <c r="B11" s="25" t="s">
        <v>18</v>
      </c>
      <c r="C11" s="32"/>
    </row>
    <row r="12" spans="1:8" ht="37.5" x14ac:dyDescent="0.3">
      <c r="A12" s="145" t="s">
        <v>19</v>
      </c>
      <c r="B12" s="25" t="s">
        <v>20</v>
      </c>
      <c r="C12" s="32"/>
    </row>
    <row r="13" spans="1:8" ht="49.5" x14ac:dyDescent="0.3">
      <c r="A13" s="145"/>
      <c r="B13" s="25" t="s">
        <v>21</v>
      </c>
      <c r="C13" s="32"/>
    </row>
    <row r="14" spans="1:8" x14ac:dyDescent="0.3">
      <c r="A14" s="146" t="s">
        <v>22</v>
      </c>
      <c r="B14" s="147"/>
      <c r="C14" s="32"/>
    </row>
    <row r="15" spans="1:8" x14ac:dyDescent="0.3">
      <c r="A15" s="146" t="s">
        <v>24</v>
      </c>
      <c r="B15" s="147"/>
      <c r="C15" s="32"/>
    </row>
    <row r="17" spans="1:1" x14ac:dyDescent="0.3">
      <c r="A17" s="24" t="s">
        <v>4</v>
      </c>
    </row>
    <row r="18" spans="1:1" x14ac:dyDescent="0.3">
      <c r="A18" s="24" t="s">
        <v>25</v>
      </c>
    </row>
    <row r="19" spans="1:1" x14ac:dyDescent="0.3">
      <c r="A19" s="24"/>
    </row>
    <row r="20" spans="1:1" x14ac:dyDescent="0.3">
      <c r="A20" s="24"/>
    </row>
    <row r="21" spans="1:1" x14ac:dyDescent="0.3">
      <c r="A21" s="24"/>
    </row>
    <row r="22" spans="1:1" x14ac:dyDescent="0.3">
      <c r="A22" s="24"/>
    </row>
    <row r="23" spans="1:1" x14ac:dyDescent="0.3">
      <c r="A23" s="24" t="s">
        <v>23</v>
      </c>
    </row>
    <row r="24" spans="1:1" x14ac:dyDescent="0.3">
      <c r="A24" s="24" t="s">
        <v>26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topLeftCell="A4" zoomScaleNormal="100" workbookViewId="0">
      <selection activeCell="I18" sqref="I18"/>
    </sheetView>
  </sheetViews>
  <sheetFormatPr baseColWidth="10" defaultColWidth="11.42578125" defaultRowHeight="15" x14ac:dyDescent="0.25"/>
  <cols>
    <col min="1" max="1" width="33.5703125" style="34" customWidth="1"/>
    <col min="2" max="2" width="32.42578125" style="34" bestFit="1" customWidth="1"/>
    <col min="3" max="3" width="16" style="34" customWidth="1"/>
    <col min="4" max="4" width="25.85546875" style="34" bestFit="1" customWidth="1"/>
    <col min="5" max="5" width="11.140625" style="34" customWidth="1"/>
    <col min="6" max="6" width="4.28515625" style="34" customWidth="1"/>
    <col min="7" max="7" width="6.85546875" style="34" customWidth="1"/>
    <col min="8" max="8" width="34.42578125" style="34" customWidth="1"/>
    <col min="9" max="9" width="15" style="34" bestFit="1" customWidth="1"/>
    <col min="10" max="11" width="5.5703125" style="34" customWidth="1"/>
    <col min="12" max="12" width="4.140625" style="34" customWidth="1"/>
    <col min="13" max="13" width="37" style="34" bestFit="1" customWidth="1"/>
    <col min="14" max="14" width="16" style="34" bestFit="1" customWidth="1"/>
    <col min="15" max="15" width="5" style="34" customWidth="1"/>
    <col min="16" max="16" width="3.28515625" style="34" customWidth="1"/>
    <col min="17" max="17" width="4.42578125" style="34" customWidth="1"/>
    <col min="18" max="18" width="31.85546875" style="34" customWidth="1"/>
    <col min="19" max="19" width="16.5703125" style="34" customWidth="1"/>
    <col min="20" max="16384" width="11.42578125" style="34"/>
  </cols>
  <sheetData>
    <row r="1" spans="1:19" ht="188.25" customHeight="1" thickBot="1" x14ac:dyDescent="0.3"/>
    <row r="2" spans="1:19" s="39" customFormat="1" ht="28.5" x14ac:dyDescent="0.45">
      <c r="A2" s="171" t="s">
        <v>27</v>
      </c>
      <c r="B2" s="171"/>
      <c r="C2" s="172">
        <v>2025</v>
      </c>
      <c r="D2" s="172"/>
      <c r="E2" s="35"/>
      <c r="F2" s="35"/>
      <c r="G2" s="36"/>
      <c r="H2" s="152" t="s">
        <v>7</v>
      </c>
      <c r="I2" s="153"/>
      <c r="J2" s="37"/>
      <c r="K2" s="37"/>
      <c r="L2" s="38"/>
      <c r="M2" s="173" t="s">
        <v>28</v>
      </c>
      <c r="N2" s="174"/>
      <c r="O2" s="38"/>
      <c r="P2" s="38"/>
      <c r="R2" s="152" t="s">
        <v>16</v>
      </c>
      <c r="S2" s="153"/>
    </row>
    <row r="3" spans="1:19" ht="19.5" thickBot="1" x14ac:dyDescent="0.3">
      <c r="A3" s="177" t="s">
        <v>29</v>
      </c>
      <c r="B3" s="177"/>
      <c r="C3" s="177"/>
      <c r="D3" s="177"/>
      <c r="E3" s="40"/>
      <c r="F3" s="40"/>
      <c r="H3" s="163"/>
      <c r="I3" s="164"/>
      <c r="J3" s="37"/>
      <c r="K3" s="37"/>
      <c r="M3" s="175"/>
      <c r="N3" s="176"/>
      <c r="R3" s="154"/>
      <c r="S3" s="155"/>
    </row>
    <row r="4" spans="1:19" ht="42" x14ac:dyDescent="0.3">
      <c r="A4" s="41" t="s">
        <v>30</v>
      </c>
      <c r="B4" s="42">
        <f>'Données à renseigner'!C4</f>
        <v>0</v>
      </c>
      <c r="C4" s="178"/>
      <c r="D4" s="178"/>
      <c r="E4" s="43"/>
      <c r="F4" s="44"/>
      <c r="H4" s="45" t="s">
        <v>31</v>
      </c>
      <c r="I4" s="46">
        <f>'Données à renseigner'!C11</f>
        <v>0</v>
      </c>
      <c r="J4" s="43"/>
      <c r="K4" s="44"/>
      <c r="L4" s="47"/>
      <c r="M4" s="48" t="s">
        <v>32</v>
      </c>
      <c r="N4" s="49">
        <v>8</v>
      </c>
      <c r="P4" s="50"/>
      <c r="R4" s="51" t="s">
        <v>33</v>
      </c>
      <c r="S4" s="52">
        <f>'Données à renseigner'!C15</f>
        <v>0</v>
      </c>
    </row>
    <row r="5" spans="1:19" ht="18" thickBot="1" x14ac:dyDescent="0.35">
      <c r="F5" s="50"/>
      <c r="H5" s="53" t="s">
        <v>34</v>
      </c>
      <c r="I5" s="54">
        <f>'Données à renseigner'!C5</f>
        <v>0</v>
      </c>
      <c r="J5" s="43"/>
      <c r="K5" s="44"/>
      <c r="L5" s="47"/>
      <c r="M5" s="55" t="s">
        <v>35</v>
      </c>
      <c r="N5" s="23" t="e">
        <f>B20</f>
        <v>#DIV/0!</v>
      </c>
      <c r="P5" s="50"/>
      <c r="R5" s="56" t="s">
        <v>22</v>
      </c>
      <c r="S5" s="54">
        <f>'Données à renseigner'!C14</f>
        <v>0</v>
      </c>
    </row>
    <row r="6" spans="1:19" ht="33" thickBot="1" x14ac:dyDescent="0.35">
      <c r="A6" s="57" t="s">
        <v>36</v>
      </c>
      <c r="B6" s="157" t="str">
        <f>IF(B4="oui","Fournissant les couches et les repas","Ne fournissant pas les couches et les repas")</f>
        <v>Ne fournissant pas les couches et les repas</v>
      </c>
      <c r="C6" s="158"/>
      <c r="D6" s="159"/>
      <c r="E6" s="58"/>
      <c r="F6" s="59"/>
      <c r="H6" s="55" t="s">
        <v>35</v>
      </c>
      <c r="I6" s="22" t="e">
        <f>B20</f>
        <v>#DIV/0!</v>
      </c>
      <c r="J6" s="13"/>
      <c r="K6" s="15"/>
      <c r="L6" s="47"/>
      <c r="M6" s="60" t="s">
        <v>37</v>
      </c>
      <c r="N6" s="54">
        <f>'Données à renseigner'!C7</f>
        <v>0</v>
      </c>
      <c r="P6" s="50"/>
      <c r="R6" s="61" t="s">
        <v>38</v>
      </c>
      <c r="S6" s="62">
        <f>IF('Données à renseigner'!C14="Public ",475,970)</f>
        <v>970</v>
      </c>
    </row>
    <row r="7" spans="1:19" ht="60.75" thickBot="1" x14ac:dyDescent="0.35">
      <c r="A7" s="63" t="s">
        <v>39</v>
      </c>
      <c r="B7" s="64" t="s">
        <v>40</v>
      </c>
      <c r="C7" s="65" t="s">
        <v>41</v>
      </c>
      <c r="D7" s="66" t="s">
        <v>42</v>
      </c>
      <c r="E7" s="67"/>
      <c r="F7" s="68"/>
      <c r="H7" s="69" t="s">
        <v>43</v>
      </c>
      <c r="I7" s="20" t="e">
        <f>(I4*10*I5*I6)*B16</f>
        <v>#DIV/0!</v>
      </c>
      <c r="J7" s="14"/>
      <c r="K7" s="16"/>
      <c r="L7" s="47"/>
      <c r="M7" s="69" t="s">
        <v>44</v>
      </c>
      <c r="N7" s="21" t="e">
        <f>(N4*N5*N6)*B16</f>
        <v>#DIV/0!</v>
      </c>
      <c r="P7" s="50"/>
      <c r="R7" s="70" t="s">
        <v>45</v>
      </c>
      <c r="S7" s="71">
        <f>IF(S4="oui",S6*I5,0)</f>
        <v>0</v>
      </c>
    </row>
    <row r="8" spans="1:19" x14ac:dyDescent="0.25">
      <c r="A8" s="72" t="s">
        <v>46</v>
      </c>
      <c r="B8" s="4">
        <f>ROUND(IF($B$4="oui",10.25,9.92),2)</f>
        <v>9.92</v>
      </c>
      <c r="C8" s="1">
        <f>ROUND(B8*66%,4)</f>
        <v>6.5472000000000001</v>
      </c>
      <c r="D8" s="160" t="e" cm="1">
        <f t="array" ref="D8">_xlfn.IFS(B14&lt;=107,B8,B14&lt;=120,B9,B14&gt;120,B10)</f>
        <v>#DIV/0!</v>
      </c>
      <c r="E8" s="11"/>
      <c r="F8" s="12"/>
      <c r="K8" s="50"/>
      <c r="P8" s="50"/>
      <c r="R8" s="73"/>
      <c r="S8" s="74"/>
    </row>
    <row r="9" spans="1:19" x14ac:dyDescent="0.25">
      <c r="A9" s="75" t="s">
        <v>47</v>
      </c>
      <c r="B9" s="8" t="e">
        <f>ROUND(IF($B$4="oui",23.81+(-12.67*B14%),23.48+(-12.67*B14%)),2)</f>
        <v>#DIV/0!</v>
      </c>
      <c r="C9" s="2" t="e">
        <f>ROUND(B9*66%,4)</f>
        <v>#DIV/0!</v>
      </c>
      <c r="D9" s="161"/>
      <c r="E9" s="11"/>
      <c r="F9" s="12"/>
      <c r="K9" s="50"/>
      <c r="P9" s="50"/>
      <c r="R9" s="76"/>
      <c r="S9" s="77"/>
    </row>
    <row r="10" spans="1:19" ht="15.75" thickBot="1" x14ac:dyDescent="0.3">
      <c r="A10" s="78" t="s">
        <v>48</v>
      </c>
      <c r="B10" s="5">
        <f>ROUND(IF($B$4="oui",8.6,8.27),2)</f>
        <v>8.27</v>
      </c>
      <c r="C10" s="3">
        <f>ROUND(B10*66%,4)</f>
        <v>5.4581999999999997</v>
      </c>
      <c r="D10" s="162"/>
      <c r="E10" s="11"/>
      <c r="F10" s="12"/>
      <c r="H10" s="50"/>
      <c r="I10" s="50"/>
      <c r="K10" s="50"/>
      <c r="M10" s="50"/>
      <c r="N10" s="50"/>
      <c r="P10" s="50"/>
      <c r="S10" s="79"/>
    </row>
    <row r="11" spans="1:19" ht="15.75" thickBot="1" x14ac:dyDescent="0.3">
      <c r="A11" s="80"/>
      <c r="B11" s="74"/>
      <c r="C11" s="81"/>
      <c r="D11" s="74"/>
      <c r="E11" s="82"/>
      <c r="F11" s="83"/>
      <c r="G11" s="81"/>
      <c r="K11" s="50"/>
      <c r="P11" s="50"/>
      <c r="R11" s="84"/>
      <c r="S11" s="85"/>
    </row>
    <row r="12" spans="1:19" ht="18.75" x14ac:dyDescent="0.25">
      <c r="A12" s="86" t="s">
        <v>49</v>
      </c>
      <c r="B12" s="87">
        <f>'Données à renseigner'!C9</f>
        <v>0</v>
      </c>
      <c r="C12" s="88" t="s">
        <v>50</v>
      </c>
      <c r="D12" s="89">
        <f>'Données à renseigner'!C13</f>
        <v>0</v>
      </c>
      <c r="E12" s="90"/>
      <c r="F12" s="91"/>
      <c r="H12" s="152" t="s">
        <v>11</v>
      </c>
      <c r="I12" s="153"/>
      <c r="J12" s="37"/>
      <c r="K12" s="92"/>
      <c r="M12" s="152" t="s">
        <v>13</v>
      </c>
      <c r="N12" s="153"/>
      <c r="P12" s="50"/>
      <c r="R12" s="156"/>
      <c r="S12" s="156"/>
    </row>
    <row r="13" spans="1:19" ht="19.5" thickBot="1" x14ac:dyDescent="0.3">
      <c r="A13" s="93" t="s">
        <v>51</v>
      </c>
      <c r="B13" s="94">
        <f>'Données à renseigner'!C8</f>
        <v>0</v>
      </c>
      <c r="C13" s="165" t="s">
        <v>52</v>
      </c>
      <c r="D13" s="167">
        <f>'Données à renseigner'!C12</f>
        <v>0</v>
      </c>
      <c r="E13" s="95"/>
      <c r="F13" s="96"/>
      <c r="H13" s="163"/>
      <c r="I13" s="164"/>
      <c r="J13" s="37"/>
      <c r="K13" s="92"/>
      <c r="M13" s="154"/>
      <c r="N13" s="155"/>
      <c r="P13" s="50"/>
      <c r="R13" s="156"/>
      <c r="S13" s="156"/>
    </row>
    <row r="14" spans="1:19" ht="45.75" thickBot="1" x14ac:dyDescent="0.3">
      <c r="A14" s="97" t="s">
        <v>53</v>
      </c>
      <c r="B14" s="7" t="e">
        <f>(B12/B13)*100</f>
        <v>#DIV/0!</v>
      </c>
      <c r="C14" s="166"/>
      <c r="D14" s="168"/>
      <c r="E14" s="95"/>
      <c r="F14" s="96"/>
      <c r="H14" s="169" t="s">
        <v>54</v>
      </c>
      <c r="I14" s="170"/>
      <c r="J14" s="98"/>
      <c r="K14" s="99"/>
      <c r="M14" s="100" t="s">
        <v>55</v>
      </c>
      <c r="N14" s="46">
        <f>'Données à renseigner'!C10</f>
        <v>0</v>
      </c>
      <c r="P14" s="50"/>
      <c r="R14" s="101"/>
      <c r="S14" s="43"/>
    </row>
    <row r="15" spans="1:19" ht="30" x14ac:dyDescent="0.25">
      <c r="A15" s="80"/>
      <c r="B15" s="102"/>
      <c r="C15" s="102"/>
      <c r="D15" s="102"/>
      <c r="E15" s="102"/>
      <c r="F15" s="103"/>
      <c r="H15" s="104" t="s">
        <v>56</v>
      </c>
      <c r="I15" s="105" t="e">
        <f>D13/B12</f>
        <v>#DIV/0!</v>
      </c>
      <c r="J15" s="106"/>
      <c r="K15" s="107"/>
      <c r="M15" s="108" t="s">
        <v>57</v>
      </c>
      <c r="N15" s="109" t="e">
        <f>(N14/N6)</f>
        <v>#DIV/0!</v>
      </c>
      <c r="P15" s="50"/>
      <c r="R15" s="73"/>
      <c r="S15" s="110"/>
    </row>
    <row r="16" spans="1:19" x14ac:dyDescent="0.25">
      <c r="A16" s="111" t="s">
        <v>58</v>
      </c>
      <c r="B16" s="112">
        <f>'Données à renseigner'!C6</f>
        <v>0</v>
      </c>
      <c r="C16" s="102"/>
      <c r="D16" s="102"/>
      <c r="E16" s="102"/>
      <c r="F16" s="103"/>
      <c r="H16" s="53" t="s">
        <v>34</v>
      </c>
      <c r="I16" s="54">
        <f>'Données à renseigner'!C5</f>
        <v>0</v>
      </c>
      <c r="J16" s="80"/>
      <c r="K16" s="113"/>
      <c r="M16" s="114" t="s">
        <v>59</v>
      </c>
      <c r="N16" s="115" t="e" cm="1">
        <f t="array" ref="N16">_xlfn.IFS(N15&lt;5%,15%,N15&lt;7.5%,30%,N15&gt;=7.5%,45%)</f>
        <v>#DIV/0!</v>
      </c>
      <c r="P16" s="50"/>
      <c r="R16" s="73"/>
      <c r="S16" s="116"/>
    </row>
    <row r="17" spans="1:19" ht="15.75" thickBot="1" x14ac:dyDescent="0.3">
      <c r="F17" s="50"/>
      <c r="H17" s="114" t="s">
        <v>60</v>
      </c>
      <c r="I17" s="117" t="e" cm="1">
        <f t="array" ref="I17">_xlfn.IFS(I15&lt;=0.89,2100,I15&lt;=1.18,800,I15&lt;=1.49,300,I15&gt;1.49,0)</f>
        <v>#DIV/0!</v>
      </c>
      <c r="J17" s="74"/>
      <c r="K17" s="83"/>
      <c r="M17" s="118" t="s">
        <v>61</v>
      </c>
      <c r="N17" s="119" t="e">
        <f>D12/I5</f>
        <v>#DIV/0!</v>
      </c>
      <c r="P17" s="50"/>
      <c r="R17" s="73"/>
      <c r="S17" s="82"/>
    </row>
    <row r="18" spans="1:19" ht="38.25" thickBot="1" x14ac:dyDescent="0.3">
      <c r="A18" s="120" t="s">
        <v>62</v>
      </c>
      <c r="B18" s="9" t="e">
        <f>ROUND(D12/B13,4)</f>
        <v>#DIV/0!</v>
      </c>
      <c r="F18" s="50"/>
      <c r="H18" s="121" t="s">
        <v>63</v>
      </c>
      <c r="I18" s="122" t="e">
        <f>I17*'Données à renseigner'!C5</f>
        <v>#DIV/0!</v>
      </c>
      <c r="J18" s="14"/>
      <c r="K18" s="16"/>
      <c r="M18" s="118" t="s">
        <v>64</v>
      </c>
      <c r="N18" s="117" t="e" cm="1">
        <f t="array" ref="N18">_xlfn.IFS(N15&gt;=7.5%,22030,N15&gt;=5%,8812+(N15*176236),N15&lt;5%,17624)</f>
        <v>#DIV/0!</v>
      </c>
      <c r="O18" s="123"/>
      <c r="P18" s="50"/>
      <c r="R18" s="73"/>
      <c r="S18" s="82"/>
    </row>
    <row r="19" spans="1:19" ht="18.75" x14ac:dyDescent="0.3">
      <c r="A19" s="124" t="s">
        <v>65</v>
      </c>
      <c r="B19" s="6" t="e">
        <f>MIN(D8,B18)</f>
        <v>#DIV/0!</v>
      </c>
      <c r="F19" s="50"/>
      <c r="K19" s="50"/>
      <c r="M19" s="108" t="s">
        <v>66</v>
      </c>
      <c r="N19" s="125" t="e">
        <f>MIN(N18,N17)</f>
        <v>#DIV/0!</v>
      </c>
      <c r="P19" s="50"/>
      <c r="R19" s="73"/>
    </row>
    <row r="20" spans="1:19" ht="18.75" x14ac:dyDescent="0.3">
      <c r="A20" s="124" t="s">
        <v>67</v>
      </c>
      <c r="B20" s="6" t="e">
        <f>ROUND(B19*66%,4)</f>
        <v>#DIV/0!</v>
      </c>
      <c r="C20" s="80"/>
      <c r="D20" s="80"/>
      <c r="E20" s="80"/>
      <c r="F20" s="113"/>
      <c r="K20" s="50"/>
      <c r="M20" s="114" t="s">
        <v>68</v>
      </c>
      <c r="N20" s="119" t="e">
        <f>((N14/N6)*N16*N19)</f>
        <v>#DIV/0!</v>
      </c>
      <c r="P20" s="50"/>
      <c r="R20" s="73"/>
    </row>
    <row r="21" spans="1:19" ht="19.5" thickBot="1" x14ac:dyDescent="0.35">
      <c r="A21" s="126" t="s">
        <v>69</v>
      </c>
      <c r="B21" s="10" t="e">
        <f>(B12*B20-D13)</f>
        <v>#DIV/0!</v>
      </c>
      <c r="F21" s="50"/>
      <c r="K21" s="50"/>
      <c r="M21" s="127" t="s">
        <v>70</v>
      </c>
      <c r="N21" s="128">
        <v>1432</v>
      </c>
      <c r="P21" s="50"/>
      <c r="R21" s="73"/>
      <c r="S21" s="79"/>
    </row>
    <row r="22" spans="1:19" ht="19.5" thickBot="1" x14ac:dyDescent="0.35">
      <c r="A22" s="129" t="s">
        <v>71</v>
      </c>
      <c r="B22" s="19" t="e">
        <f>ROUND(B21*B16,2)</f>
        <v>#DIV/0!</v>
      </c>
      <c r="C22" s="151" t="s">
        <v>72</v>
      </c>
      <c r="D22" s="151"/>
      <c r="E22" s="130"/>
      <c r="F22" s="131"/>
      <c r="K22" s="50"/>
      <c r="M22" s="132" t="s">
        <v>73</v>
      </c>
      <c r="N22" s="133" t="e">
        <f>MIN(N20,N21)</f>
        <v>#DIV/0!</v>
      </c>
      <c r="P22" s="50"/>
    </row>
    <row r="23" spans="1:19" ht="15.75" thickBot="1" x14ac:dyDescent="0.3">
      <c r="D23" s="134"/>
      <c r="E23" s="135"/>
      <c r="F23" s="135"/>
      <c r="G23" s="136"/>
      <c r="K23" s="50"/>
      <c r="M23" s="137"/>
      <c r="N23" s="138"/>
      <c r="P23" s="50"/>
    </row>
    <row r="24" spans="1:19" ht="38.25" thickBot="1" x14ac:dyDescent="0.35">
      <c r="A24" s="142" t="s">
        <v>74</v>
      </c>
      <c r="K24" s="50"/>
      <c r="M24" s="139" t="s">
        <v>75</v>
      </c>
      <c r="N24" s="140" t="e">
        <f>I5*N22</f>
        <v>#DIV/0!</v>
      </c>
      <c r="P24" s="50"/>
    </row>
    <row r="25" spans="1:19" x14ac:dyDescent="0.25">
      <c r="A25" s="141" t="s">
        <v>4</v>
      </c>
      <c r="K25" s="50"/>
      <c r="P25" s="50"/>
    </row>
    <row r="26" spans="1:19" x14ac:dyDescent="0.25">
      <c r="A26" s="141" t="s">
        <v>25</v>
      </c>
    </row>
  </sheetData>
  <sheetProtection algorithmName="SHA-512" hashValue="FAshk8F3q2rHWjByCMr3UV3UpzKKmmxCpYfKDsHCJvhi13Sfao9PgM/b2pqAOU1G7aj88NoLE4xlNEyt5kAtzw==" saltValue="TrWJ1KS+xBL9FXcz5LvmC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6f5629-7e36-4f51-9207-e9a6dea0feed">
      <Terms xmlns="http://schemas.microsoft.com/office/infopath/2007/PartnerControls"/>
    </lcf76f155ced4ddcb4097134ff3c332f>
    <TaxCatchAll xmlns="5a994f96-da76-4097-8c2d-d86268a1f8b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A1956A92C25D4889417D6B4E6CEF8F" ma:contentTypeVersion="12" ma:contentTypeDescription="Crée un document." ma:contentTypeScope="" ma:versionID="d0209516b53fa2fa277851be309f65f9">
  <xsd:schema xmlns:xsd="http://www.w3.org/2001/XMLSchema" xmlns:xs="http://www.w3.org/2001/XMLSchema" xmlns:p="http://schemas.microsoft.com/office/2006/metadata/properties" xmlns:ns2="fd6f5629-7e36-4f51-9207-e9a6dea0feed" xmlns:ns3="5a994f96-da76-4097-8c2d-d86268a1f8b2" targetNamespace="http://schemas.microsoft.com/office/2006/metadata/properties" ma:root="true" ma:fieldsID="4ead9546ba7c4095cf7fb9ebe491e329" ns2:_="" ns3:_="">
    <xsd:import namespace="fd6f5629-7e36-4f51-9207-e9a6dea0feed"/>
    <xsd:import namespace="5a994f96-da76-4097-8c2d-d86268a1f8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6f5629-7e36-4f51-9207-e9a6dea0fe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994f96-da76-4097-8c2d-d86268a1f8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962c71-86ca-4709-adc4-1adc91bca698}" ma:internalName="TaxCatchAll" ma:showField="CatchAllData" ma:web="5a994f96-da76-4097-8c2d-d86268a1f8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6B2BD8-9EEE-4411-AAF8-B6EAEFEBFB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0FE7ED-3FAC-4FF0-B681-42BE8DCEB4F0}">
  <ds:schemaRefs>
    <ds:schemaRef ds:uri="http://schemas.microsoft.com/office/2006/metadata/properties"/>
    <ds:schemaRef ds:uri="http://schemas.microsoft.com/office/infopath/2007/PartnerControls"/>
    <ds:schemaRef ds:uri="fd6f5629-7e36-4f51-9207-e9a6dea0feed"/>
    <ds:schemaRef ds:uri="5a994f96-da76-4097-8c2d-d86268a1f8b2"/>
  </ds:schemaRefs>
</ds:datastoreItem>
</file>

<file path=customXml/itemProps3.xml><?xml version="1.0" encoding="utf-8"?>
<ds:datastoreItem xmlns:ds="http://schemas.openxmlformats.org/officeDocument/2006/customXml" ds:itemID="{B9FC84D6-1447-499B-ADB9-13A353A50A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6f5629-7e36-4f51-9207-e9a6dea0feed"/>
    <ds:schemaRef ds:uri="5a994f96-da76-4097-8c2d-d86268a1f8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Jessica DENARDOU 141</cp:lastModifiedBy>
  <cp:revision/>
  <dcterms:created xsi:type="dcterms:W3CDTF">2024-10-10T07:54:54Z</dcterms:created>
  <dcterms:modified xsi:type="dcterms:W3CDTF">2026-03-04T06:47:21Z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0x01010057A1956A92C25D4889417D6B4E6CEF8F</vt:lpwstr>
  </property>
  <property fmtid="{D5CDD505-2E9C-101B-9397-08002B2CF9AE}" pid="3" name="MediaServiceImageTags">
    <vt:lpwstr/>
  </property>
</Properties>
</file>