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re351\Downloads\"/>
    </mc:Choice>
  </mc:AlternateContent>
  <xr:revisionPtr revIDLastSave="0" documentId="13_ncr:1_{F542E5BC-4F5D-4E7D-808D-680893DB4AE7}" xr6:coauthVersionLast="47" xr6:coauthVersionMax="47" xr10:uidLastSave="{00000000-0000-0000-0000-000000000000}"/>
  <bookViews>
    <workbookView xWindow="330" yWindow="-120" windowWidth="28590" windowHeight="15720" xr2:uid="{50FF9CFD-048A-4734-8DBE-F2890E5063D1}"/>
  </bookViews>
  <sheets>
    <sheet name="Données à renseigner" sheetId="4" r:id="rId1"/>
    <sheet name="Simulateur calcul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S6" i="5"/>
  <c r="I16" i="5"/>
  <c r="S4" i="5"/>
  <c r="S7" i="5" l="1"/>
  <c r="F9" i="4" s="1"/>
  <c r="S5" i="5"/>
  <c r="N14" i="5"/>
  <c r="N6" i="5"/>
  <c r="I5" i="5"/>
  <c r="I4" i="5"/>
  <c r="B16" i="5"/>
  <c r="D13" i="5"/>
  <c r="D12" i="5"/>
  <c r="B13" i="5"/>
  <c r="B12" i="5"/>
  <c r="B8" i="5"/>
  <c r="N17" i="5" l="1"/>
  <c r="B18" i="5"/>
  <c r="I15" i="5"/>
  <c r="I17" i="5" s="1" a="1"/>
  <c r="I17" i="5" s="1"/>
  <c r="N15" i="5"/>
  <c r="N18" i="5" s="1" a="1"/>
  <c r="N18" i="5" s="1"/>
  <c r="B14" i="5"/>
  <c r="B9" i="5" s="1"/>
  <c r="C9" i="5" s="1"/>
  <c r="C8" i="5"/>
  <c r="B10" i="5"/>
  <c r="C10" i="5" s="1"/>
  <c r="B6" i="5"/>
  <c r="I18" i="5" l="1"/>
  <c r="F7" i="4" s="1"/>
  <c r="N19" i="5"/>
  <c r="N16" i="5" a="1"/>
  <c r="N16" i="5" s="1"/>
  <c r="D8" i="5" a="1"/>
  <c r="D8" i="5" s="1"/>
  <c r="B19" i="5" s="1"/>
  <c r="B20" i="5" s="1"/>
  <c r="I6" i="5" s="1"/>
  <c r="I7" i="5" s="1"/>
  <c r="F5" i="4" s="1"/>
  <c r="N20" i="5" l="1"/>
  <c r="N22" i="5" s="1"/>
  <c r="N24" i="5" s="1"/>
  <c r="F8" i="4" s="1"/>
  <c r="B21" i="5"/>
  <c r="B22" i="5" s="1"/>
  <c r="F4" i="4" s="1"/>
  <c r="N5" i="5"/>
  <c r="N7" i="5" s="1"/>
  <c r="F6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<sst xmlns="http://schemas.openxmlformats.org/spreadsheetml/2006/main" count="84" uniqueCount="75">
  <si>
    <t>DONNEES A COMPLETER</t>
  </si>
  <si>
    <t>LES DROITS CAF 2025</t>
  </si>
  <si>
    <t xml:space="preserve"> Activité</t>
  </si>
  <si>
    <t>Fourniture de couches et repas</t>
  </si>
  <si>
    <t>NON</t>
  </si>
  <si>
    <t xml:space="preserve">PSU </t>
  </si>
  <si>
    <t>Nombre de place</t>
  </si>
  <si>
    <t>JOURNEES PEDAGOGIQUES</t>
  </si>
  <si>
    <t>Taux de ressortissants RG</t>
  </si>
  <si>
    <t>PREPARATION A L'ACCUEIL</t>
  </si>
  <si>
    <t>Nombre d'enfants inscrits</t>
  </si>
  <si>
    <t>BONUS "MIXITE SOCIALE"</t>
  </si>
  <si>
    <t>Nombre d'heures de présence</t>
  </si>
  <si>
    <t>BONUS "INCLUSION HANDICAP"</t>
  </si>
  <si>
    <t>Nombre d'heure facturées</t>
  </si>
  <si>
    <t>BONUS ATTRACTIVITE</t>
  </si>
  <si>
    <t>Nombre d'enfants "AEEH"</t>
  </si>
  <si>
    <t>Nombre de journée pédagogique</t>
  </si>
  <si>
    <t>Financières</t>
  </si>
  <si>
    <t>Participations des familles (70641)</t>
  </si>
  <si>
    <r>
      <t xml:space="preserve">Total des charges 
</t>
    </r>
    <r>
      <rPr>
        <b/>
        <i/>
        <sz val="11"/>
        <color theme="1"/>
        <rFont val="Calibri"/>
        <family val="2"/>
        <scheme val="minor"/>
      </rPr>
      <t>(participations volontaires comprises)</t>
    </r>
  </si>
  <si>
    <t>Type d'EAJE</t>
  </si>
  <si>
    <t xml:space="preserve">Public </t>
  </si>
  <si>
    <t xml:space="preserve">Droit au bonus attractivité </t>
  </si>
  <si>
    <t>OUI</t>
  </si>
  <si>
    <t>Privé</t>
  </si>
  <si>
    <t xml:space="preserve">CALCUL DE LA PSU </t>
  </si>
  <si>
    <t>HEURES DE PREPARATION A L'ACCUEIL</t>
  </si>
  <si>
    <t>CF circulaire C 2024-160 du 18/07/24</t>
  </si>
  <si>
    <t>La structure fournit-elle 
les couches et repas ?</t>
  </si>
  <si>
    <r>
      <t xml:space="preserve">Nombre de journée pédagogique 
</t>
    </r>
    <r>
      <rPr>
        <i/>
        <sz val="11"/>
        <color theme="1"/>
        <rFont val="Calibri"/>
        <family val="2"/>
        <scheme val="minor"/>
      </rPr>
      <t>Maximum 3 jours</t>
    </r>
  </si>
  <si>
    <t>Nombre d'heures</t>
  </si>
  <si>
    <t>Droit au bonus attractivité :</t>
  </si>
  <si>
    <t xml:space="preserve">Nombre de place agrées </t>
  </si>
  <si>
    <t xml:space="preserve">66% du prix de revient plafonné </t>
  </si>
  <si>
    <t>EAJE</t>
  </si>
  <si>
    <t>Nbr enfants inscrits sur l'année</t>
  </si>
  <si>
    <t xml:space="preserve">Montant du bonus par place </t>
  </si>
  <si>
    <t>Taux de facturation</t>
  </si>
  <si>
    <t>Prix plafond</t>
  </si>
  <si>
    <t>PS/Heure facturée
(66% du prix plafond)</t>
  </si>
  <si>
    <t>Prix plafond en fonction du taux de facturation</t>
  </si>
  <si>
    <t xml:space="preserve">Montant du financement accordé au titre des journées pédagogiques </t>
  </si>
  <si>
    <t xml:space="preserve">Montant du financement accordé pour les heures de préparation à l'accueil </t>
  </si>
  <si>
    <t>Montant du bonus attractivité</t>
  </si>
  <si>
    <t xml:space="preserve">&lt;= 107% </t>
  </si>
  <si>
    <t>entre 107 et 120%</t>
  </si>
  <si>
    <t>&gt;= 120%</t>
  </si>
  <si>
    <t xml:space="preserve">Heures facturées </t>
  </si>
  <si>
    <t xml:space="preserve">Total des charges </t>
  </si>
  <si>
    <t xml:space="preserve">Heures réelles </t>
  </si>
  <si>
    <r>
      <t xml:space="preserve">Participation des familles  
</t>
    </r>
    <r>
      <rPr>
        <b/>
        <i/>
        <sz val="9"/>
        <color theme="1"/>
        <rFont val="Calibri"/>
        <family val="2"/>
        <scheme val="minor"/>
      </rPr>
      <t>(Compte 70641)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</si>
  <si>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Taux de facturation % </t>
  </si>
  <si>
    <t xml:space="preserve">Calculé en fonction des participations familiales moyennes facturées par la structure </t>
  </si>
  <si>
    <t>Nombre d'enfant en situation de handicap inscrits dans la structure sur l'année</t>
  </si>
  <si>
    <t>Détermination du montant horaire moyen des participations familiales :</t>
  </si>
  <si>
    <t>Pourcentage d'enfant en situation de handicap</t>
  </si>
  <si>
    <t xml:space="preserve">Taux de régime général appliqué </t>
  </si>
  <si>
    <t>Taux de financement à retenir</t>
  </si>
  <si>
    <t xml:space="preserve">Montant par place </t>
  </si>
  <si>
    <t xml:space="preserve">Détermination du coût par place </t>
  </si>
  <si>
    <t>Prix de revient     
(Total des charges  / Heures réelles)</t>
  </si>
  <si>
    <t>Montant du bonus mixité sociale</t>
  </si>
  <si>
    <t>Prix de revient plafond par place</t>
  </si>
  <si>
    <t xml:space="preserve">Prix pris en compte  </t>
  </si>
  <si>
    <t>Cout par place à prendre en compte</t>
  </si>
  <si>
    <t xml:space="preserve">PS/Heure facturée  </t>
  </si>
  <si>
    <t>Montant du bonus par place calculé</t>
  </si>
  <si>
    <t>PSU  tout régime confondu</t>
  </si>
  <si>
    <t>Montant du bonus par place plafond</t>
  </si>
  <si>
    <t xml:space="preserve">PSU  payée par la CAF </t>
  </si>
  <si>
    <t>Droits 2025</t>
  </si>
  <si>
    <t>Montant du bonus par place retenu</t>
  </si>
  <si>
    <t>DP - 01-2025</t>
  </si>
  <si>
    <t>Montant du bonus inclusion 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</si>
</sst>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_-* #,##0.00\ [$€-40C]_-;\-* #,##0.00\ [$€-40C]_-;_-* &quot;-&quot;??\ [$€-40C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2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2" applyFont="1" applyBorder="1"/>
    <xf numFmtId="165" fontId="0" fillId="0" borderId="0" xfId="0" applyNumberFormat="1"/>
    <xf numFmtId="9" fontId="0" fillId="0" borderId="0" xfId="0" applyNumberFormat="1"/>
    <xf numFmtId="43" fontId="0" fillId="0" borderId="0" xfId="1" applyFont="1"/>
    <xf numFmtId="164" fontId="0" fillId="0" borderId="0" xfId="0" applyNumberFormat="1"/>
    <xf numFmtId="0" fontId="3" fillId="0" borderId="0" xfId="0" applyFont="1"/>
    <xf numFmtId="164" fontId="0" fillId="0" borderId="9" xfId="0" applyNumberFormat="1" applyBorder="1" applyProtection="1">
      <protection hidden="1"/>
    </xf>
    <xf numFmtId="164" fontId="0" fillId="0" borderId="11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43" fontId="0" fillId="0" borderId="8" xfId="1" applyFont="1" applyBorder="1" applyProtection="1">
      <protection hidden="1"/>
    </xf>
    <xf numFmtId="43" fontId="0" fillId="0" borderId="13" xfId="1" applyFont="1" applyBorder="1" applyProtection="1">
      <protection hidden="1"/>
    </xf>
    <xf numFmtId="0" fontId="2" fillId="0" borderId="16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2" fontId="7" fillId="0" borderId="29" xfId="1" applyNumberFormat="1" applyFont="1" applyBorder="1" applyProtection="1">
      <protection hidden="1"/>
    </xf>
    <xf numFmtId="0" fontId="2" fillId="0" borderId="16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/>
    </xf>
    <xf numFmtId="43" fontId="5" fillId="0" borderId="18" xfId="1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 applyProtection="1">
      <protection hidden="1"/>
    </xf>
    <xf numFmtId="0" fontId="2" fillId="0" borderId="0" xfId="0" applyFont="1"/>
    <xf numFmtId="0" fontId="14" fillId="0" borderId="0" xfId="0" applyFont="1" applyAlignment="1">
      <alignment vertical="center"/>
    </xf>
    <xf numFmtId="0" fontId="2" fillId="0" borderId="8" xfId="0" applyFont="1" applyBorder="1"/>
    <xf numFmtId="0" fontId="7" fillId="0" borderId="21" xfId="0" applyFont="1" applyBorder="1" applyAlignment="1">
      <alignment horizontal="right" vertical="center"/>
    </xf>
    <xf numFmtId="2" fontId="7" fillId="0" borderId="21" xfId="3" applyNumberFormat="1" applyFont="1" applyFill="1" applyBorder="1" applyAlignment="1" applyProtection="1">
      <alignment vertical="center"/>
      <protection hidden="1"/>
    </xf>
    <xf numFmtId="0" fontId="4" fillId="0" borderId="0" xfId="0" applyFont="1"/>
    <xf numFmtId="0" fontId="16" fillId="0" borderId="0" xfId="0" applyFont="1"/>
    <xf numFmtId="0" fontId="0" fillId="0" borderId="16" xfId="0" applyBorder="1" applyAlignment="1">
      <alignment wrapText="1"/>
    </xf>
    <xf numFmtId="0" fontId="0" fillId="0" borderId="30" xfId="0" applyBorder="1"/>
    <xf numFmtId="0" fontId="0" fillId="0" borderId="30" xfId="0" applyBorder="1" applyAlignment="1">
      <alignment vertical="center"/>
    </xf>
    <xf numFmtId="0" fontId="0" fillId="0" borderId="30" xfId="0" applyBorder="1" applyAlignment="1">
      <alignment vertical="center" wrapText="1"/>
    </xf>
    <xf numFmtId="43" fontId="0" fillId="0" borderId="10" xfId="1" applyFont="1" applyBorder="1" applyProtection="1">
      <protection hidden="1"/>
    </xf>
    <xf numFmtId="2" fontId="5" fillId="0" borderId="28" xfId="0" applyNumberFormat="1" applyFont="1" applyBorder="1" applyAlignment="1" applyProtection="1">
      <alignment vertical="center"/>
      <protection hidden="1"/>
    </xf>
    <xf numFmtId="0" fontId="0" fillId="0" borderId="16" xfId="0" applyBorder="1" applyAlignment="1">
      <alignment horizontal="left" vertical="center" wrapText="1"/>
    </xf>
    <xf numFmtId="43" fontId="5" fillId="0" borderId="23" xfId="1" applyFont="1" applyBorder="1" applyProtection="1">
      <protection hidden="1"/>
    </xf>
    <xf numFmtId="0" fontId="0" fillId="0" borderId="10" xfId="0" applyBorder="1"/>
    <xf numFmtId="0" fontId="2" fillId="0" borderId="32" xfId="0" applyFont="1" applyBorder="1" applyAlignment="1">
      <alignment wrapText="1"/>
    </xf>
    <xf numFmtId="44" fontId="2" fillId="0" borderId="33" xfId="0" applyNumberFormat="1" applyFont="1" applyBorder="1"/>
    <xf numFmtId="44" fontId="0" fillId="0" borderId="11" xfId="2" applyFont="1" applyBorder="1"/>
    <xf numFmtId="0" fontId="0" fillId="0" borderId="3" xfId="0" applyBorder="1"/>
    <xf numFmtId="0" fontId="0" fillId="0" borderId="20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0" borderId="0" xfId="4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 applyProtection="1">
      <alignment horizontal="center" vertical="center"/>
      <protection hidden="1"/>
    </xf>
    <xf numFmtId="44" fontId="0" fillId="0" borderId="0" xfId="2" applyFont="1" applyFill="1" applyBorder="1"/>
    <xf numFmtId="44" fontId="2" fillId="0" borderId="0" xfId="2" applyFont="1" applyFill="1" applyBorder="1" applyProtection="1">
      <protection locked="0"/>
    </xf>
    <xf numFmtId="44" fontId="2" fillId="0" borderId="0" xfId="2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43" fontId="0" fillId="0" borderId="0" xfId="1" applyFont="1" applyFill="1"/>
    <xf numFmtId="0" fontId="13" fillId="3" borderId="0" xfId="0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2" fontId="2" fillId="3" borderId="0" xfId="0" applyNumberFormat="1" applyFont="1" applyFill="1" applyAlignment="1" applyProtection="1">
      <alignment horizontal="center" vertical="center"/>
      <protection hidden="1"/>
    </xf>
    <xf numFmtId="44" fontId="0" fillId="3" borderId="0" xfId="2" applyFont="1" applyFill="1" applyBorder="1"/>
    <xf numFmtId="44" fontId="2" fillId="3" borderId="0" xfId="2" applyFont="1" applyFill="1" applyBorder="1" applyProtection="1">
      <protection locked="0"/>
    </xf>
    <xf numFmtId="44" fontId="2" fillId="3" borderId="0" xfId="2" applyFont="1" applyFill="1" applyBorder="1" applyAlignment="1" applyProtection="1">
      <alignment horizontal="center" vertical="center"/>
      <protection locked="0"/>
    </xf>
    <xf numFmtId="9" fontId="0" fillId="3" borderId="0" xfId="0" applyNumberFormat="1" applyFill="1"/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left"/>
    </xf>
    <xf numFmtId="2" fontId="0" fillId="0" borderId="0" xfId="0" applyNumberFormat="1" applyAlignment="1" applyProtection="1">
      <alignment horizontal="center" vertical="center"/>
      <protection hidden="1"/>
    </xf>
    <xf numFmtId="44" fontId="2" fillId="0" borderId="0" xfId="2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wrapText="1"/>
      <protection locked="0"/>
    </xf>
    <xf numFmtId="44" fontId="2" fillId="0" borderId="0" xfId="0" applyNumberFormat="1" applyFont="1"/>
    <xf numFmtId="44" fontId="2" fillId="0" borderId="0" xfId="2" applyFont="1" applyBorder="1" applyAlignment="1">
      <alignment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2" fontId="0" fillId="3" borderId="0" xfId="0" applyNumberFormat="1" applyFill="1" applyAlignment="1" applyProtection="1">
      <alignment horizontal="center" vertical="center"/>
      <protection hidden="1"/>
    </xf>
    <xf numFmtId="44" fontId="2" fillId="3" borderId="0" xfId="2" applyFont="1" applyFill="1" applyBorder="1" applyAlignment="1" applyProtection="1">
      <alignment vertical="center"/>
      <protection hidden="1"/>
    </xf>
    <xf numFmtId="0" fontId="7" fillId="3" borderId="0" xfId="0" applyFont="1" applyFill="1" applyAlignment="1">
      <alignment horizontal="center" vertical="center"/>
    </xf>
    <xf numFmtId="0" fontId="13" fillId="3" borderId="0" xfId="0" applyFont="1" applyFill="1" applyAlignment="1" applyProtection="1">
      <alignment horizontal="center" wrapText="1"/>
      <protection locked="0"/>
    </xf>
    <xf numFmtId="44" fontId="2" fillId="3" borderId="0" xfId="0" applyNumberFormat="1" applyFont="1" applyFill="1"/>
    <xf numFmtId="44" fontId="2" fillId="3" borderId="0" xfId="2" applyFont="1" applyFill="1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4" fontId="2" fillId="0" borderId="0" xfId="3" applyNumberFormat="1" applyFont="1" applyBorder="1"/>
    <xf numFmtId="44" fontId="0" fillId="0" borderId="0" xfId="0" applyNumberFormat="1"/>
    <xf numFmtId="0" fontId="13" fillId="0" borderId="0" xfId="0" applyFont="1"/>
    <xf numFmtId="44" fontId="13" fillId="0" borderId="0" xfId="0" applyNumberFormat="1" applyFont="1"/>
    <xf numFmtId="0" fontId="5" fillId="0" borderId="0" xfId="0" applyFont="1"/>
    <xf numFmtId="0" fontId="2" fillId="0" borderId="0" xfId="0" applyFont="1" applyAlignment="1">
      <alignment vertical="center" wrapText="1"/>
    </xf>
    <xf numFmtId="44" fontId="1" fillId="0" borderId="0" xfId="2" applyFont="1" applyFill="1" applyBorder="1"/>
    <xf numFmtId="44" fontId="1" fillId="0" borderId="0" xfId="2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2" fillId="0" borderId="17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4" fontId="2" fillId="0" borderId="28" xfId="2" applyFont="1" applyFill="1" applyBorder="1" applyProtection="1">
      <protection locked="0"/>
    </xf>
    <xf numFmtId="9" fontId="12" fillId="0" borderId="0" xfId="0" applyNumberFormat="1" applyFont="1" applyProtection="1">
      <protection locked="0"/>
    </xf>
    <xf numFmtId="43" fontId="7" fillId="2" borderId="1" xfId="1" applyFont="1" applyFill="1" applyBorder="1" applyAlignment="1">
      <alignment horizontal="right"/>
    </xf>
    <xf numFmtId="44" fontId="7" fillId="2" borderId="7" xfId="2" applyFont="1" applyFill="1" applyBorder="1" applyProtection="1">
      <protection hidden="1"/>
    </xf>
    <xf numFmtId="0" fontId="6" fillId="2" borderId="1" xfId="0" applyFont="1" applyFill="1" applyBorder="1" applyAlignment="1">
      <alignment horizontal="center" vertical="center"/>
    </xf>
    <xf numFmtId="44" fontId="7" fillId="2" borderId="14" xfId="2" applyFont="1" applyFill="1" applyBorder="1" applyAlignment="1">
      <alignment vertical="center"/>
    </xf>
    <xf numFmtId="44" fontId="7" fillId="2" borderId="23" xfId="2" applyFont="1" applyFill="1" applyBorder="1" applyAlignment="1" applyProtection="1">
      <alignment vertical="center"/>
      <protection hidden="1"/>
    </xf>
    <xf numFmtId="44" fontId="7" fillId="2" borderId="23" xfId="2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wrapText="1"/>
    </xf>
    <xf numFmtId="44" fontId="7" fillId="2" borderId="27" xfId="0" applyNumberFormat="1" applyFont="1" applyFill="1" applyBorder="1" applyAlignment="1">
      <alignment vertical="center"/>
    </xf>
    <xf numFmtId="0" fontId="0" fillId="0" borderId="8" xfId="0" applyBorder="1" applyAlignment="1">
      <alignment wrapText="1"/>
    </xf>
    <xf numFmtId="0" fontId="13" fillId="0" borderId="9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>
      <alignment wrapText="1"/>
    </xf>
    <xf numFmtId="10" fontId="2" fillId="0" borderId="11" xfId="3" applyNumberFormat="1" applyFont="1" applyBorder="1"/>
    <xf numFmtId="10" fontId="0" fillId="0" borderId="11" xfId="3" applyNumberFormat="1" applyFont="1" applyBorder="1"/>
    <xf numFmtId="0" fontId="0" fillId="0" borderId="10" xfId="0" applyBorder="1" applyAlignment="1">
      <alignment wrapText="1"/>
    </xf>
    <xf numFmtId="44" fontId="0" fillId="0" borderId="11" xfId="0" applyNumberFormat="1" applyBorder="1"/>
    <xf numFmtId="44" fontId="2" fillId="0" borderId="11" xfId="3" applyNumberFormat="1" applyFont="1" applyBorder="1"/>
    <xf numFmtId="0" fontId="13" fillId="0" borderId="10" xfId="0" applyFont="1" applyBorder="1"/>
    <xf numFmtId="44" fontId="13" fillId="0" borderId="11" xfId="0" applyNumberFormat="1" applyFont="1" applyBorder="1"/>
    <xf numFmtId="0" fontId="2" fillId="0" borderId="10" xfId="0" applyFont="1" applyBorder="1"/>
    <xf numFmtId="44" fontId="2" fillId="0" borderId="11" xfId="0" applyNumberFormat="1" applyFont="1" applyBorder="1"/>
    <xf numFmtId="0" fontId="0" fillId="0" borderId="13" xfId="0" applyBorder="1"/>
    <xf numFmtId="0" fontId="0" fillId="0" borderId="14" xfId="0" applyBorder="1"/>
    <xf numFmtId="0" fontId="13" fillId="0" borderId="11" xfId="0" applyFont="1" applyBorder="1" applyAlignment="1" applyProtection="1">
      <alignment horizontal="right" vertical="center" wrapText="1"/>
      <protection locked="0"/>
    </xf>
    <xf numFmtId="44" fontId="0" fillId="0" borderId="29" xfId="2" applyFont="1" applyBorder="1" applyAlignment="1" applyProtection="1">
      <alignment horizontal="right" vertical="center"/>
      <protection hidden="1"/>
    </xf>
    <xf numFmtId="0" fontId="0" fillId="0" borderId="28" xfId="0" applyBorder="1" applyAlignment="1">
      <alignment horizontal="right" vertical="center"/>
    </xf>
    <xf numFmtId="166" fontId="0" fillId="0" borderId="29" xfId="0" applyNumberFormat="1" applyBorder="1" applyAlignment="1" applyProtection="1">
      <alignment horizontal="right"/>
      <protection hidden="1"/>
    </xf>
    <xf numFmtId="0" fontId="17" fillId="0" borderId="0" xfId="0" applyFont="1"/>
    <xf numFmtId="0" fontId="7" fillId="2" borderId="39" xfId="0" applyFont="1" applyFill="1" applyBorder="1" applyAlignment="1">
      <alignment horizontal="center" vertical="center" wrapText="1"/>
    </xf>
    <xf numFmtId="44" fontId="7" fillId="2" borderId="40" xfId="2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4" fontId="1" fillId="0" borderId="14" xfId="2" applyFont="1" applyBorder="1" applyAlignment="1">
      <alignment vertical="center"/>
    </xf>
    <xf numFmtId="0" fontId="7" fillId="0" borderId="38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43" fontId="7" fillId="2" borderId="24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4" fontId="7" fillId="2" borderId="4" xfId="2" applyFont="1" applyFill="1" applyBorder="1" applyAlignment="1" applyProtection="1">
      <alignment vertical="center"/>
      <protection hidden="1"/>
    </xf>
    <xf numFmtId="44" fontId="7" fillId="2" borderId="7" xfId="0" applyNumberFormat="1" applyFont="1" applyFill="1" applyBorder="1" applyAlignment="1">
      <alignment vertical="center"/>
    </xf>
    <xf numFmtId="44" fontId="11" fillId="0" borderId="0" xfId="2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/>
      <protection locked="0"/>
    </xf>
    <xf numFmtId="9" fontId="7" fillId="0" borderId="11" xfId="3" applyFont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7" fillId="2" borderId="2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2" fontId="2" fillId="0" borderId="12" xfId="0" applyNumberFormat="1" applyFont="1" applyBorder="1" applyAlignment="1" applyProtection="1">
      <alignment horizontal="center" vertical="center"/>
      <protection hidden="1"/>
    </xf>
    <xf numFmtId="2" fontId="2" fillId="0" borderId="15" xfId="0" applyNumberFormat="1" applyFont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44" fontId="2" fillId="0" borderId="26" xfId="2" applyFont="1" applyFill="1" applyBorder="1" applyAlignment="1" applyProtection="1">
      <alignment horizontal="center" vertical="center"/>
      <protection locked="0"/>
    </xf>
    <xf numFmtId="44" fontId="2" fillId="0" borderId="27" xfId="2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5">
    <cellStyle name="Lien hypertexte" xfId="4" builtinId="8"/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99CC"/>
      <color rgb="FFFF66CC"/>
      <color rgb="FFFF33CC"/>
      <color rgb="FFFF66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63500</xdr:rowOff>
    </xdr:from>
    <xdr:to>
      <xdr:col>5</xdr:col>
      <xdr:colOff>1190262</xdr:colOff>
      <xdr:row>0</xdr:row>
      <xdr:rowOff>2899833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2B0AF7-E1F4-43FB-8234-64A9D40D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52917" y="63500"/>
          <a:ext cx="7709595" cy="2836333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737858</xdr:colOff>
      <xdr:row>0</xdr:row>
      <xdr:rowOff>2351485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51C91B-25A2-461C-96F3-A26960F0D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0" y="0"/>
          <a:ext cx="6381421" cy="2351485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  <xdr:twoCellAnchor editAs="oneCell">
    <xdr:from>
      <xdr:col>6</xdr:col>
      <xdr:colOff>41672</xdr:colOff>
      <xdr:row>0</xdr:row>
      <xdr:rowOff>0</xdr:rowOff>
    </xdr:from>
    <xdr:to>
      <xdr:col>12</xdr:col>
      <xdr:colOff>1667681</xdr:colOff>
      <xdr:row>0</xdr:row>
      <xdr:rowOff>2351485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D66ED14-26AB-4E1A-A8C5-B8ED7806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6709172" y="0"/>
          <a:ext cx="6388509" cy="2351485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20</xdr:col>
      <xdr:colOff>483009</xdr:colOff>
      <xdr:row>0</xdr:row>
      <xdr:rowOff>2351485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B9D6FA4-06E5-4F44-AFBC-8EC1459C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13620750" y="0"/>
          <a:ext cx="6388509" cy="2351485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6CC02-C194-4746-B46B-AD52C8992E4C}">
  <dimension ref="A1:F24"/>
  <sheetViews>
    <sheetView tabSelected="1" zoomScale="90" zoomScaleNormal="90" workbookViewId="0">
      <selection activeCell="H1" sqref="H1"/>
    </sheetView>
  </sheetViews>
  <sheetFormatPr baseColWidth="10" defaultColWidth="11.42578125" defaultRowHeight="18.75" x14ac:dyDescent="0.3"/>
  <cols>
    <col min="1" max="1" width="14.140625" style="91" bestFit="1" customWidth="1"/>
    <col min="2" max="2" width="28.7109375" style="137" customWidth="1"/>
    <col min="3" max="3" width="11.28515625" style="95" bestFit="1" customWidth="1"/>
    <col min="4" max="4" width="5.42578125" style="91" customWidth="1"/>
    <col min="5" max="5" width="39" style="138" customWidth="1"/>
    <col min="6" max="6" width="17.85546875" style="138" bestFit="1" customWidth="1"/>
    <col min="7" max="16384" width="11.42578125" style="91"/>
  </cols>
  <sheetData>
    <row r="1" spans="1:6" ht="228.75" customHeight="1" x14ac:dyDescent="0.3"/>
    <row r="2" spans="1:6" ht="19.5" thickBot="1" x14ac:dyDescent="0.35"/>
    <row r="3" spans="1:6" ht="19.5" thickBot="1" x14ac:dyDescent="0.35">
      <c r="A3" s="151" t="s">
        <v>0</v>
      </c>
      <c r="B3" s="152"/>
      <c r="C3" s="153"/>
      <c r="E3" s="146" t="s">
        <v>1</v>
      </c>
      <c r="F3" s="147"/>
    </row>
    <row r="4" spans="1:6" ht="38.25" thickBot="1" x14ac:dyDescent="0.35">
      <c r="A4" s="148" t="s">
        <v>2</v>
      </c>
      <c r="B4" s="136" t="s">
        <v>3</v>
      </c>
      <c r="C4" s="144"/>
      <c r="E4" s="139" t="s">
        <v>5</v>
      </c>
      <c r="F4" s="141" t="e">
        <f>'Simulateur calcul'!B22</f>
        <v>#DIV/0!</v>
      </c>
    </row>
    <row r="5" spans="1:6" ht="16.5" customHeight="1" thickBot="1" x14ac:dyDescent="0.35">
      <c r="A5" s="148"/>
      <c r="B5" s="136" t="s">
        <v>6</v>
      </c>
      <c r="C5" s="144"/>
      <c r="E5" s="140" t="s">
        <v>7</v>
      </c>
      <c r="F5" s="142" t="e">
        <f>'Simulateur calcul'!I7</f>
        <v>#DIV/0!</v>
      </c>
    </row>
    <row r="6" spans="1:6" ht="38.25" thickBot="1" x14ac:dyDescent="0.35">
      <c r="A6" s="148"/>
      <c r="B6" s="136" t="s">
        <v>8</v>
      </c>
      <c r="C6" s="145"/>
      <c r="E6" s="140" t="s">
        <v>9</v>
      </c>
      <c r="F6" s="142" t="e">
        <f>'Simulateur calcul'!N7</f>
        <v>#DIV/0!</v>
      </c>
    </row>
    <row r="7" spans="1:6" ht="38.25" thickBot="1" x14ac:dyDescent="0.35">
      <c r="A7" s="148"/>
      <c r="B7" s="136" t="s">
        <v>10</v>
      </c>
      <c r="C7" s="144"/>
      <c r="E7" s="140" t="s">
        <v>11</v>
      </c>
      <c r="F7" s="142" t="e">
        <f>'Simulateur calcul'!I18</f>
        <v>#DIV/0!</v>
      </c>
    </row>
    <row r="8" spans="1:6" ht="38.25" thickBot="1" x14ac:dyDescent="0.35">
      <c r="A8" s="148"/>
      <c r="B8" s="136" t="s">
        <v>12</v>
      </c>
      <c r="C8" s="144"/>
      <c r="E8" s="140" t="s">
        <v>13</v>
      </c>
      <c r="F8" s="142" t="e">
        <f>'Simulateur calcul'!N24</f>
        <v>#DIV/0!</v>
      </c>
    </row>
    <row r="9" spans="1:6" ht="38.25" thickBot="1" x14ac:dyDescent="0.35">
      <c r="A9" s="148"/>
      <c r="B9" s="136" t="s">
        <v>14</v>
      </c>
      <c r="C9" s="144"/>
      <c r="E9" s="140" t="s">
        <v>15</v>
      </c>
      <c r="F9" s="142">
        <f>'Simulateur calcul'!S7</f>
        <v>0</v>
      </c>
    </row>
    <row r="10" spans="1:6" ht="37.5" x14ac:dyDescent="0.3">
      <c r="A10" s="148"/>
      <c r="B10" s="136" t="s">
        <v>16</v>
      </c>
      <c r="C10" s="144"/>
    </row>
    <row r="11" spans="1:6" ht="37.5" x14ac:dyDescent="0.3">
      <c r="A11" s="148"/>
      <c r="B11" s="136" t="s">
        <v>17</v>
      </c>
      <c r="C11" s="144"/>
    </row>
    <row r="12" spans="1:6" ht="37.5" x14ac:dyDescent="0.3">
      <c r="A12" s="148" t="s">
        <v>18</v>
      </c>
      <c r="B12" s="136" t="s">
        <v>19</v>
      </c>
      <c r="C12" s="144"/>
    </row>
    <row r="13" spans="1:6" ht="49.5" x14ac:dyDescent="0.3">
      <c r="A13" s="148"/>
      <c r="B13" s="136" t="s">
        <v>20</v>
      </c>
      <c r="C13" s="144"/>
    </row>
    <row r="14" spans="1:6" x14ac:dyDescent="0.3">
      <c r="A14" s="149" t="s">
        <v>21</v>
      </c>
      <c r="B14" s="150"/>
      <c r="C14" s="144"/>
    </row>
    <row r="15" spans="1:6" x14ac:dyDescent="0.3">
      <c r="A15" s="149" t="s">
        <v>23</v>
      </c>
      <c r="B15" s="150"/>
      <c r="C15" s="144"/>
    </row>
    <row r="17" spans="1:1" x14ac:dyDescent="0.3">
      <c r="A17" s="128" t="s">
        <v>24</v>
      </c>
    </row>
    <row r="18" spans="1:1" x14ac:dyDescent="0.3">
      <c r="A18" s="128" t="s">
        <v>4</v>
      </c>
    </row>
    <row r="19" spans="1:1" x14ac:dyDescent="0.3">
      <c r="A19" s="128"/>
    </row>
    <row r="20" spans="1:1" x14ac:dyDescent="0.3">
      <c r="A20" s="128"/>
    </row>
    <row r="21" spans="1:1" x14ac:dyDescent="0.3">
      <c r="A21" s="128"/>
    </row>
    <row r="22" spans="1:1" x14ac:dyDescent="0.3">
      <c r="A22" s="128"/>
    </row>
    <row r="23" spans="1:1" x14ac:dyDescent="0.3">
      <c r="A23" s="128" t="s">
        <v>25</v>
      </c>
    </row>
    <row r="24" spans="1:1" x14ac:dyDescent="0.3">
      <c r="A24" s="128" t="s">
        <v>22</v>
      </c>
    </row>
  </sheetData>
  <sheetProtection algorithmName="SHA-512" hashValue="iOWaz/Rp91+cJLNFDh9lHHoM0mJXtjvb9ApO0ihy/yemnNz14Z0L5o52MN4qxRO37Z6ziwkQSOhUc97bzugQVw==" saltValue="QN0i6TECXtV+5jsQstV8GQ==" spinCount="100000" sheet="1" objects="1" scenarios="1"/>
  <mergeCells count="6">
    <mergeCell ref="E3:F3"/>
    <mergeCell ref="A12:A13"/>
    <mergeCell ref="A4:A11"/>
    <mergeCell ref="A15:B15"/>
    <mergeCell ref="A14:B14"/>
    <mergeCell ref="A3:C3"/>
  </mergeCells>
  <dataValidations count="3">
    <dataValidation type="list" allowBlank="1" showInputMessage="1" showErrorMessage="1" sqref="C14" xr:uid="{401F1B09-346B-4E4D-8024-FF7E57010517}">
      <formula1>$A$23:$A$24</formula1>
    </dataValidation>
    <dataValidation type="whole" allowBlank="1" showInputMessage="1" showErrorMessage="1" sqref="C11" xr:uid="{8A6AB204-B207-4998-B0A8-39ADBC84AE8F}">
      <formula1>0</formula1>
      <formula2>3</formula2>
    </dataValidation>
    <dataValidation type="list" allowBlank="1" showInputMessage="1" showErrorMessage="1" sqref="C15" xr:uid="{AABFB5FA-D7DF-45B7-ACCB-2893A9F16E5D}">
      <formula1>$A$17:$A$18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C03472-A148-4623-AB8B-C47CC2460EC1}">
          <x14:formula1>
            <xm:f>'Simulateur calcul'!$A$25:$A$26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1DEC-F34C-4966-8F8C-CAFB9C1350A7}">
  <dimension ref="A1:S26"/>
  <sheetViews>
    <sheetView showGridLines="0" zoomScale="80" zoomScaleNormal="80" workbookViewId="0">
      <selection activeCell="R18" sqref="R18"/>
    </sheetView>
  </sheetViews>
  <sheetFormatPr baseColWidth="10" defaultColWidth="11.42578125" defaultRowHeight="15" x14ac:dyDescent="0.25"/>
  <cols>
    <col min="1" max="1" width="33.5703125" customWidth="1"/>
    <col min="2" max="2" width="17.5703125" customWidth="1"/>
    <col min="3" max="3" width="16" customWidth="1"/>
    <col min="4" max="4" width="17.42578125" bestFit="1" customWidth="1"/>
    <col min="5" max="5" width="11.140625" customWidth="1"/>
    <col min="6" max="6" width="4.28515625" customWidth="1"/>
    <col min="7" max="7" width="6.85546875" customWidth="1"/>
    <col min="8" max="8" width="34.42578125" customWidth="1"/>
    <col min="9" max="9" width="15" bestFit="1" customWidth="1"/>
    <col min="10" max="11" width="5.5703125" customWidth="1"/>
    <col min="12" max="12" width="4.140625" customWidth="1"/>
    <col min="13" max="13" width="37" bestFit="1" customWidth="1"/>
    <col min="14" max="14" width="16" bestFit="1" customWidth="1"/>
    <col min="15" max="15" width="5" customWidth="1"/>
    <col min="16" max="16" width="3.28515625" customWidth="1"/>
    <col min="17" max="17" width="4.42578125" customWidth="1"/>
    <col min="18" max="18" width="31.85546875" customWidth="1"/>
    <col min="19" max="19" width="16.5703125" customWidth="1"/>
  </cols>
  <sheetData>
    <row r="1" spans="1:19" ht="188.25" customHeight="1" thickBot="1" x14ac:dyDescent="0.3"/>
    <row r="2" spans="1:19" s="28" customFormat="1" ht="28.5" x14ac:dyDescent="0.45">
      <c r="A2" s="174" t="s">
        <v>26</v>
      </c>
      <c r="B2" s="174"/>
      <c r="C2" s="175">
        <v>2025</v>
      </c>
      <c r="D2" s="175"/>
      <c r="E2" s="50"/>
      <c r="F2" s="50"/>
      <c r="G2" s="29"/>
      <c r="H2" s="155" t="s">
        <v>7</v>
      </c>
      <c r="I2" s="156"/>
      <c r="J2" s="49"/>
      <c r="K2" s="49"/>
      <c r="L2" s="33"/>
      <c r="M2" s="176" t="s">
        <v>27</v>
      </c>
      <c r="N2" s="177"/>
      <c r="O2" s="33"/>
      <c r="P2" s="33"/>
      <c r="R2" s="155" t="s">
        <v>15</v>
      </c>
      <c r="S2" s="156"/>
    </row>
    <row r="3" spans="1:19" ht="19.5" thickBot="1" x14ac:dyDescent="0.3">
      <c r="A3" s="180" t="s">
        <v>28</v>
      </c>
      <c r="B3" s="180"/>
      <c r="C3" s="180"/>
      <c r="D3" s="180"/>
      <c r="E3" s="51"/>
      <c r="F3" s="51"/>
      <c r="H3" s="166"/>
      <c r="I3" s="167"/>
      <c r="J3" s="49"/>
      <c r="K3" s="49"/>
      <c r="M3" s="178"/>
      <c r="N3" s="179"/>
      <c r="R3" s="157"/>
      <c r="S3" s="158"/>
    </row>
    <row r="4" spans="1:19" ht="42" x14ac:dyDescent="0.3">
      <c r="A4" s="25" t="s">
        <v>29</v>
      </c>
      <c r="B4" s="143">
        <f>'Données à renseigner'!C4</f>
        <v>0</v>
      </c>
      <c r="C4" s="181"/>
      <c r="D4" s="181"/>
      <c r="E4" s="52"/>
      <c r="F4" s="61"/>
      <c r="H4" s="35" t="s">
        <v>30</v>
      </c>
      <c r="I4" s="111">
        <f>'Données à renseigner'!C11</f>
        <v>0</v>
      </c>
      <c r="J4" s="77"/>
      <c r="K4" s="78"/>
      <c r="L4" s="34"/>
      <c r="M4" s="41" t="s">
        <v>31</v>
      </c>
      <c r="N4" s="126">
        <v>6</v>
      </c>
      <c r="P4" s="62"/>
      <c r="R4" s="131" t="s">
        <v>32</v>
      </c>
      <c r="S4" s="132">
        <f>'Données à renseigner'!C15</f>
        <v>0</v>
      </c>
    </row>
    <row r="5" spans="1:19" ht="18" thickBot="1" x14ac:dyDescent="0.35">
      <c r="F5" s="62"/>
      <c r="H5" s="36" t="s">
        <v>33</v>
      </c>
      <c r="I5" s="124">
        <f>'Données à renseigner'!C5</f>
        <v>0</v>
      </c>
      <c r="J5" s="77"/>
      <c r="K5" s="78"/>
      <c r="L5" s="34"/>
      <c r="M5" s="37" t="s">
        <v>34</v>
      </c>
      <c r="N5" s="127" t="e">
        <f>B20</f>
        <v>#DIV/0!</v>
      </c>
      <c r="P5" s="62"/>
      <c r="R5" s="133" t="s">
        <v>21</v>
      </c>
      <c r="S5" s="124">
        <f>'Données à renseigner'!C14</f>
        <v>0</v>
      </c>
    </row>
    <row r="6" spans="1:19" ht="33" thickBot="1" x14ac:dyDescent="0.35">
      <c r="A6" s="102" t="s">
        <v>35</v>
      </c>
      <c r="B6" s="160" t="str">
        <f>IF(B4="oui","Fournissant les couches et les repas","Ne fournissant pas les couches et les repas")</f>
        <v>Ne fournissant pas les couches et les repas</v>
      </c>
      <c r="C6" s="161"/>
      <c r="D6" s="162"/>
      <c r="E6" s="53"/>
      <c r="F6" s="63"/>
      <c r="H6" s="37" t="s">
        <v>34</v>
      </c>
      <c r="I6" s="125" t="e">
        <f>B20</f>
        <v>#DIV/0!</v>
      </c>
      <c r="J6" s="72"/>
      <c r="K6" s="79"/>
      <c r="L6" s="34"/>
      <c r="M6" s="38" t="s">
        <v>36</v>
      </c>
      <c r="N6" s="124">
        <f>'Données à renseigner'!C7</f>
        <v>0</v>
      </c>
      <c r="P6" s="62"/>
      <c r="R6" s="134" t="s">
        <v>37</v>
      </c>
      <c r="S6" s="135">
        <f>IF('Données à renseigner'!C14="Public ",475,970)</f>
        <v>970</v>
      </c>
    </row>
    <row r="7" spans="1:19" ht="60.75" thickBot="1" x14ac:dyDescent="0.35">
      <c r="A7" s="14" t="s">
        <v>38</v>
      </c>
      <c r="B7" s="1" t="s">
        <v>39</v>
      </c>
      <c r="C7" s="2" t="s">
        <v>40</v>
      </c>
      <c r="D7" s="3" t="s">
        <v>41</v>
      </c>
      <c r="E7" s="54"/>
      <c r="F7" s="64"/>
      <c r="H7" s="107" t="s">
        <v>42</v>
      </c>
      <c r="I7" s="104" t="e">
        <f>(I4*10*I5*I6)*B16</f>
        <v>#DIV/0!</v>
      </c>
      <c r="J7" s="73"/>
      <c r="K7" s="80"/>
      <c r="L7" s="34"/>
      <c r="M7" s="107" t="s">
        <v>43</v>
      </c>
      <c r="N7" s="105" t="e">
        <f>(N4*N5*N6)*B16</f>
        <v>#DIV/0!</v>
      </c>
      <c r="P7" s="62"/>
      <c r="R7" s="129" t="s">
        <v>44</v>
      </c>
      <c r="S7" s="130">
        <f>IF(S4="oui",S6*I5,0)</f>
        <v>0</v>
      </c>
    </row>
    <row r="8" spans="1:19" x14ac:dyDescent="0.25">
      <c r="A8" s="15" t="s">
        <v>45</v>
      </c>
      <c r="B8" s="17">
        <f>ROUND(IF($B$4="oui",10.05,9.72),2)</f>
        <v>9.7200000000000006</v>
      </c>
      <c r="C8" s="11">
        <f>ROUND(B8*66%,4)</f>
        <v>6.4151999999999996</v>
      </c>
      <c r="D8" s="163" t="e" cm="1">
        <f t="array" ref="D8">_xlfn.IFS(B14&lt;=107,B8,B14&lt;=120,B9,B14&gt;120,B10)</f>
        <v>#DIV/0!</v>
      </c>
      <c r="E8" s="55"/>
      <c r="F8" s="65"/>
      <c r="K8" s="62"/>
      <c r="P8" s="62"/>
      <c r="R8" s="85"/>
      <c r="S8" s="5"/>
    </row>
    <row r="9" spans="1:19" x14ac:dyDescent="0.25">
      <c r="A9" s="48" t="s">
        <v>46</v>
      </c>
      <c r="B9" s="39" t="e">
        <f>ROUND(IF($B$4="oui",21.96+(-11.13*B14%),21.63+(-11.13*B14%)),2)</f>
        <v>#DIV/0!</v>
      </c>
      <c r="C9" s="12" t="e">
        <f>ROUND(B9*66%,4)</f>
        <v>#DIV/0!</v>
      </c>
      <c r="D9" s="164"/>
      <c r="E9" s="55"/>
      <c r="F9" s="65"/>
      <c r="K9" s="62"/>
      <c r="P9" s="62"/>
      <c r="R9" s="86"/>
      <c r="S9" s="87"/>
    </row>
    <row r="10" spans="1:19" ht="15.75" thickBot="1" x14ac:dyDescent="0.3">
      <c r="A10" s="16" t="s">
        <v>47</v>
      </c>
      <c r="B10" s="18">
        <f>ROUND(IF($B$4="oui",8.6,8.27),2)</f>
        <v>8.27</v>
      </c>
      <c r="C10" s="13">
        <f>ROUND(B10*66%,4)</f>
        <v>5.4581999999999997</v>
      </c>
      <c r="D10" s="165"/>
      <c r="E10" s="55"/>
      <c r="F10" s="65"/>
      <c r="H10" s="62"/>
      <c r="I10" s="62"/>
      <c r="K10" s="62"/>
      <c r="M10" s="62"/>
      <c r="N10" s="62"/>
      <c r="P10" s="62"/>
      <c r="S10" s="88"/>
    </row>
    <row r="11" spans="1:19" ht="15.75" thickBot="1" x14ac:dyDescent="0.3">
      <c r="A11" s="4"/>
      <c r="B11" s="5"/>
      <c r="C11" s="6"/>
      <c r="D11" s="5"/>
      <c r="E11" s="56"/>
      <c r="F11" s="66"/>
      <c r="G11" s="6"/>
      <c r="K11" s="62"/>
      <c r="P11" s="62"/>
      <c r="R11" s="89"/>
      <c r="S11" s="90"/>
    </row>
    <row r="12" spans="1:19" ht="18.75" x14ac:dyDescent="0.25">
      <c r="A12" s="19" t="s">
        <v>48</v>
      </c>
      <c r="B12" s="96">
        <f>'Données à renseigner'!C9</f>
        <v>0</v>
      </c>
      <c r="C12" s="30" t="s">
        <v>49</v>
      </c>
      <c r="D12" s="98">
        <f>'Données à renseigner'!C13</f>
        <v>0</v>
      </c>
      <c r="E12" s="57"/>
      <c r="F12" s="67"/>
      <c r="H12" s="155" t="s">
        <v>11</v>
      </c>
      <c r="I12" s="156"/>
      <c r="J12" s="49"/>
      <c r="K12" s="81"/>
      <c r="M12" s="155" t="s">
        <v>13</v>
      </c>
      <c r="N12" s="156"/>
      <c r="P12" s="62"/>
      <c r="R12" s="159"/>
      <c r="S12" s="159"/>
    </row>
    <row r="13" spans="1:19" ht="19.5" thickBot="1" x14ac:dyDescent="0.3">
      <c r="A13" s="20" t="s">
        <v>50</v>
      </c>
      <c r="B13" s="97">
        <f>'Données à renseigner'!C8</f>
        <v>0</v>
      </c>
      <c r="C13" s="168" t="s">
        <v>51</v>
      </c>
      <c r="D13" s="170">
        <f>'Données à renseigner'!C12</f>
        <v>0</v>
      </c>
      <c r="E13" s="58"/>
      <c r="F13" s="68"/>
      <c r="H13" s="166"/>
      <c r="I13" s="167"/>
      <c r="J13" s="49"/>
      <c r="K13" s="81"/>
      <c r="M13" s="157"/>
      <c r="N13" s="158"/>
      <c r="P13" s="62"/>
      <c r="R13" s="159"/>
      <c r="S13" s="159"/>
    </row>
    <row r="14" spans="1:19" ht="45.75" thickBot="1" x14ac:dyDescent="0.3">
      <c r="A14" s="31" t="s">
        <v>52</v>
      </c>
      <c r="B14" s="32" t="e">
        <f>(B12/B13)*100</f>
        <v>#DIV/0!</v>
      </c>
      <c r="C14" s="169"/>
      <c r="D14" s="171"/>
      <c r="E14" s="58"/>
      <c r="F14" s="68"/>
      <c r="H14" s="172" t="s">
        <v>53</v>
      </c>
      <c r="I14" s="173"/>
      <c r="J14" s="74"/>
      <c r="K14" s="82"/>
      <c r="M14" s="110" t="s">
        <v>54</v>
      </c>
      <c r="N14" s="111">
        <f>'Données à renseigner'!C10</f>
        <v>0</v>
      </c>
      <c r="P14" s="62"/>
      <c r="R14" s="92"/>
      <c r="S14" s="77"/>
    </row>
    <row r="15" spans="1:19" ht="30" x14ac:dyDescent="0.25">
      <c r="A15" s="4"/>
      <c r="B15" s="7"/>
      <c r="C15" s="7"/>
      <c r="D15" s="7"/>
      <c r="E15" s="7"/>
      <c r="F15" s="69"/>
      <c r="H15" s="44" t="s">
        <v>55</v>
      </c>
      <c r="I15" s="45" t="e">
        <f>D13/B12</f>
        <v>#DIV/0!</v>
      </c>
      <c r="J15" s="75"/>
      <c r="K15" s="83"/>
      <c r="M15" s="112" t="s">
        <v>56</v>
      </c>
      <c r="N15" s="113" t="e">
        <f>(N14/N6)</f>
        <v>#DIV/0!</v>
      </c>
      <c r="P15" s="62"/>
      <c r="R15" s="85"/>
      <c r="S15" s="93"/>
    </row>
    <row r="16" spans="1:19" x14ac:dyDescent="0.25">
      <c r="A16" s="26" t="s">
        <v>57</v>
      </c>
      <c r="B16" s="99">
        <f>'Données à renseigner'!C6</f>
        <v>0</v>
      </c>
      <c r="C16" s="7"/>
      <c r="D16" s="7"/>
      <c r="E16" s="7"/>
      <c r="F16" s="69"/>
      <c r="H16" s="36" t="s">
        <v>33</v>
      </c>
      <c r="I16" s="124">
        <f>'Données à renseigner'!C5</f>
        <v>0</v>
      </c>
      <c r="J16" s="4"/>
      <c r="K16" s="70"/>
      <c r="M16" s="43" t="s">
        <v>58</v>
      </c>
      <c r="N16" s="114" t="e" cm="1">
        <f t="array" ref="N16">_xlfn.IFS(N15&lt;5%,15%,N15&lt;7.5%,30%,N15&gt;=7.5%,45%)</f>
        <v>#DIV/0!</v>
      </c>
      <c r="P16" s="62"/>
      <c r="R16" s="85"/>
      <c r="S16" s="94"/>
    </row>
    <row r="17" spans="1:19" ht="15.75" thickBot="1" x14ac:dyDescent="0.3">
      <c r="F17" s="62"/>
      <c r="H17" s="43" t="s">
        <v>59</v>
      </c>
      <c r="I17" s="46" t="e" cm="1">
        <f t="array" ref="I17">_xlfn.IFS(I15&lt;=0.89,2100,I15&lt;=1.18,800,I15&lt;=1.49,300,I15&gt;1.49,0)</f>
        <v>#DIV/0!</v>
      </c>
      <c r="J17" s="5"/>
      <c r="K17" s="66"/>
      <c r="M17" s="115" t="s">
        <v>60</v>
      </c>
      <c r="N17" s="116" t="e">
        <f>D12/I5</f>
        <v>#DIV/0!</v>
      </c>
      <c r="P17" s="62"/>
      <c r="R17" s="85"/>
      <c r="S17" s="56"/>
    </row>
    <row r="18" spans="1:19" ht="38.25" thickBot="1" x14ac:dyDescent="0.3">
      <c r="A18" s="22" t="s">
        <v>61</v>
      </c>
      <c r="B18" s="40" t="e">
        <f>ROUND(D12/B13,4)</f>
        <v>#DIV/0!</v>
      </c>
      <c r="F18" s="62"/>
      <c r="H18" s="106" t="s">
        <v>62</v>
      </c>
      <c r="I18" s="103" t="e">
        <f>I17*'Données à renseigner'!C5</f>
        <v>#DIV/0!</v>
      </c>
      <c r="J18" s="76"/>
      <c r="K18" s="84"/>
      <c r="M18" s="115" t="s">
        <v>63</v>
      </c>
      <c r="N18" s="46" t="e" cm="1">
        <f t="array" ref="N18">_xlfn.IFS(N15&gt;=7.5%,22030,N15&gt;=5%,8812+(N15*176236),N15&lt;5%,17624)</f>
        <v>#DIV/0!</v>
      </c>
      <c r="O18" s="47"/>
      <c r="P18" s="62"/>
      <c r="R18" s="85"/>
      <c r="S18" s="56"/>
    </row>
    <row r="19" spans="1:19" ht="18.75" x14ac:dyDescent="0.3">
      <c r="A19" s="23" t="s">
        <v>64</v>
      </c>
      <c r="B19" s="21" t="e">
        <f>MIN(D8,B18)</f>
        <v>#DIV/0!</v>
      </c>
      <c r="F19" s="62"/>
      <c r="K19" s="62"/>
      <c r="M19" s="112" t="s">
        <v>65</v>
      </c>
      <c r="N19" s="117" t="e">
        <f>MIN(N18,N17)</f>
        <v>#DIV/0!</v>
      </c>
      <c r="P19" s="62"/>
      <c r="R19" s="85"/>
    </row>
    <row r="20" spans="1:19" ht="18.75" x14ac:dyDescent="0.3">
      <c r="A20" s="23" t="s">
        <v>66</v>
      </c>
      <c r="B20" s="21" t="e">
        <f>ROUND(B19*66%,4)</f>
        <v>#DIV/0!</v>
      </c>
      <c r="C20" s="4"/>
      <c r="D20" s="4"/>
      <c r="E20" s="4"/>
      <c r="F20" s="70"/>
      <c r="K20" s="62"/>
      <c r="M20" s="43" t="s">
        <v>67</v>
      </c>
      <c r="N20" s="116" t="e">
        <f>((N14/N6)*N16*N19)</f>
        <v>#DIV/0!</v>
      </c>
      <c r="P20" s="62"/>
      <c r="R20" s="85"/>
    </row>
    <row r="21" spans="1:19" ht="19.5" thickBot="1" x14ac:dyDescent="0.35">
      <c r="A21" s="24" t="s">
        <v>68</v>
      </c>
      <c r="B21" s="42" t="e">
        <f>(B12*B20-D13)</f>
        <v>#DIV/0!</v>
      </c>
      <c r="F21" s="62"/>
      <c r="K21" s="62"/>
      <c r="M21" s="118" t="s">
        <v>69</v>
      </c>
      <c r="N21" s="119">
        <v>1432</v>
      </c>
      <c r="P21" s="62"/>
      <c r="R21" s="85"/>
      <c r="S21" s="88"/>
    </row>
    <row r="22" spans="1:19" ht="19.5" thickBot="1" x14ac:dyDescent="0.35">
      <c r="A22" s="100" t="s">
        <v>70</v>
      </c>
      <c r="B22" s="101" t="e">
        <f>ROUND(B21*B16,2)</f>
        <v>#DIV/0!</v>
      </c>
      <c r="C22" s="154" t="s">
        <v>71</v>
      </c>
      <c r="D22" s="154"/>
      <c r="E22" s="59"/>
      <c r="F22" s="71"/>
      <c r="K22" s="62"/>
      <c r="M22" s="120" t="s">
        <v>72</v>
      </c>
      <c r="N22" s="121" t="e">
        <f>MIN(N20,N21)</f>
        <v>#DIV/0!</v>
      </c>
      <c r="P22" s="62"/>
    </row>
    <row r="23" spans="1:19" ht="15.75" thickBot="1" x14ac:dyDescent="0.3">
      <c r="D23" s="8"/>
      <c r="E23" s="60"/>
      <c r="F23" s="60"/>
      <c r="G23" s="9"/>
      <c r="K23" s="62"/>
      <c r="M23" s="122"/>
      <c r="N23" s="123"/>
      <c r="P23" s="62"/>
    </row>
    <row r="24" spans="1:19" ht="38.25" thickBot="1" x14ac:dyDescent="0.35">
      <c r="A24" s="27" t="s">
        <v>73</v>
      </c>
      <c r="K24" s="62"/>
      <c r="M24" s="108" t="s">
        <v>74</v>
      </c>
      <c r="N24" s="109" t="e">
        <f>I5*N22</f>
        <v>#DIV/0!</v>
      </c>
      <c r="P24" s="62"/>
    </row>
    <row r="25" spans="1:19" x14ac:dyDescent="0.25">
      <c r="A25" s="10" t="s">
        <v>24</v>
      </c>
      <c r="K25" s="62"/>
      <c r="P25" s="62"/>
    </row>
    <row r="26" spans="1:19" x14ac:dyDescent="0.25">
      <c r="A26" s="10" t="s">
        <v>4</v>
      </c>
    </row>
  </sheetData>
  <sheetProtection algorithmName="SHA-512" hashValue="Lfx6+WVocQgFIQlughmsit908HgdUan9f2fAGxiwQ+9ZgmxTCptsGzfpdu/+++DgzB3BfaWoP4SNKtjWyzEULQ==" saltValue="cINK78N0JZ6LV8mLmOUCEg==" spinCount="100000" sheet="1" objects="1" scenarios="1"/>
  <mergeCells count="16">
    <mergeCell ref="C22:D22"/>
    <mergeCell ref="R2:S3"/>
    <mergeCell ref="R12:S13"/>
    <mergeCell ref="B6:D6"/>
    <mergeCell ref="D8:D10"/>
    <mergeCell ref="H12:I13"/>
    <mergeCell ref="M12:N13"/>
    <mergeCell ref="C13:C14"/>
    <mergeCell ref="D13:D14"/>
    <mergeCell ref="H14:I14"/>
    <mergeCell ref="A2:B2"/>
    <mergeCell ref="C2:D2"/>
    <mergeCell ref="H2:I3"/>
    <mergeCell ref="M2:N3"/>
    <mergeCell ref="A3:D3"/>
    <mergeCell ref="C4:D4"/>
  </mergeCells>
  <dataValidations count="1">
    <dataValidation type="whole" allowBlank="1" showInputMessage="1" showErrorMessage="1" sqref="I4:K4" xr:uid="{B24EF7CC-C2BE-40DB-82FD-43354CFD1C15}">
      <formula1>0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994f96-da76-4097-8c2d-d86268a1f8b2" xsi:nil="true"/>
    <lcf76f155ced4ddcb4097134ff3c332f xmlns="fd6f5629-7e36-4f51-9207-e9a6dea0fee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A1956A92C25D4889417D6B4E6CEF8F" ma:contentTypeVersion="11" ma:contentTypeDescription="Crée un document." ma:contentTypeScope="" ma:versionID="f2b225448d0208c472d072afb1413e16">
  <xsd:schema xmlns:xsd="http://www.w3.org/2001/XMLSchema" xmlns:xs="http://www.w3.org/2001/XMLSchema" xmlns:p="http://schemas.microsoft.com/office/2006/metadata/properties" xmlns:ns2="fd6f5629-7e36-4f51-9207-e9a6dea0feed" xmlns:ns3="5a994f96-da76-4097-8c2d-d86268a1f8b2" targetNamespace="http://schemas.microsoft.com/office/2006/metadata/properties" ma:root="true" ma:fieldsID="e654d14b7580b81f6a5aa7317f7af4ae" ns2:_="" ns3:_="">
    <xsd:import namespace="fd6f5629-7e36-4f51-9207-e9a6dea0feed"/>
    <xsd:import namespace="5a994f96-da76-4097-8c2d-d86268a1f8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f5629-7e36-4f51-9207-e9a6dea0fe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94f96-da76-4097-8c2d-d86268a1f8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b962c71-86ca-4709-adc4-1adc91bca698}" ma:internalName="TaxCatchAll" ma:showField="CatchAllData" ma:web="5a994f96-da76-4097-8c2d-d86268a1f8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52FDB2-9BE4-46CC-AA8F-7BE81C48AE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B5A387-7F9C-4D26-BF36-7ACD9890B6B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BB3837-62A3-456B-B0AF-8E8FD4ACB5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à renseigner</vt:lpstr>
      <vt:lpstr>Simulateur calcul</vt:lpstr>
    </vt:vector>
  </TitlesOfParts>
  <Manager/>
  <Company>CNAF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Delphine PONTY 301</dc:creator>
  <cp:keywords/>
  <dc:description/>
  <cp:lastModifiedBy>Aline MOREL 351</cp:lastModifiedBy>
  <cp:revision/>
  <dcterms:created xsi:type="dcterms:W3CDTF">2024-10-10T07:54:54Z</dcterms:created>
  <dcterms:modified xsi:type="dcterms:W3CDTF">2025-01-16T08:35:23Z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0x01010057A1956A92C25D4889417D6B4E6CEF8F</vt:lpwstr>
  </property>
</Properties>
</file>